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08" firstSheet="2" activeTab="2"/>
  </bookViews>
  <sheets>
    <sheet name="贴息审核要素" sheetId="1" state="hidden" r:id="rId1"/>
    <sheet name="贴息计算" sheetId="2" state="hidden" r:id="rId2"/>
    <sheet name="2024年下半年农业龙头企业贷款财政贴息扶持资金（第一批)" sheetId="3" r:id="rId3"/>
    <sheet name="Sheet1" sheetId="7" state="hidden" r:id="rId4"/>
    <sheet name="Sheet1 (2)" sheetId="8" state="hidden" r:id="rId5"/>
  </sheets>
  <definedNames>
    <definedName name="_xlnm._FilterDatabase" localSheetId="2" hidden="1">'2024年下半年农业龙头企业贷款财政贴息扶持资金（第一批)'!$A$3:$U$80</definedName>
    <definedName name="aa" hidden="1">{#N/A,#N/A,FALSE,"负债表"}</definedName>
    <definedName name="_xlnm.Print_Area" localSheetId="2">'2024年下半年农业龙头企业贷款财政贴息扶持资金（第一批)'!$A$1:$R$37</definedName>
    <definedName name="_xlnm.Print_Titles" localSheetId="2">'2024年下半年农业龙头企业贷款财政贴息扶持资金（第一批)'!$1:$3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LiuQiuHong</author>
  </authors>
  <commentList>
    <comment ref="G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查询贷款发放当日LPR利率（对应一年期和五年期，以贷款合同期限确定是否用一年期或五年期）</t>
        </r>
      </text>
    </comment>
    <comment ref="H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依据政策文件，符合贴息补贴的贷款用途支付金额</t>
        </r>
      </text>
    </comment>
    <comment ref="J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计算得出，LPR是年利率，一年按360天计算，实际利率低于LPR的，按实际利率的50%计算，实际利率高于LPR的，按LPR的50%计算</t>
        </r>
      </text>
    </comment>
    <comment ref="K5" authorId="0">
      <text>
        <r>
          <rPr>
            <b/>
            <sz val="9"/>
            <rFont val="宋体"/>
            <charset val="134"/>
          </rPr>
          <t>LiuQiuHong:该笔贷款是否已享受国家、省级贴息补贴？如有，应扣减。即</t>
        </r>
      </text>
    </comment>
    <comment ref="L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三亚市按国家或省级标准同等奖励，但奖励总金额不得超过企业实际支付符合条件的贷款额度内的利息</t>
        </r>
      </text>
    </comment>
  </commentList>
</comments>
</file>

<file path=xl/sharedStrings.xml><?xml version="1.0" encoding="utf-8"?>
<sst xmlns="http://schemas.openxmlformats.org/spreadsheetml/2006/main" count="163" uniqueCount="109">
  <si>
    <t>龙头企业贷款贴息审计底稿</t>
  </si>
  <si>
    <t>单位名称：</t>
  </si>
  <si>
    <t>序号</t>
  </si>
  <si>
    <t>项目</t>
  </si>
  <si>
    <t>审核要素</t>
  </si>
  <si>
    <t>文件要求</t>
  </si>
  <si>
    <t>企业申报情况</t>
  </si>
  <si>
    <t>审核确认</t>
  </si>
  <si>
    <t>页码</t>
  </si>
  <si>
    <t>一</t>
  </si>
  <si>
    <t>主体资格情况</t>
  </si>
  <si>
    <t>企业营业执照</t>
  </si>
  <si>
    <t>是否是三亚区域内注册或在三亚设有分支机构，查询该企业是否异常？</t>
  </si>
  <si>
    <t>三亚区域内注册</t>
  </si>
  <si>
    <t>三亚市吉阳区临春河路199号祥和酒店202房</t>
  </si>
  <si>
    <t>符合条件</t>
  </si>
  <si>
    <t>企业开户许可证</t>
  </si>
  <si>
    <t>检查开户行信息</t>
  </si>
  <si>
    <t>三亚市内开户</t>
  </si>
  <si>
    <t>中国农业银行三亚市分行账号21751001040035650</t>
  </si>
  <si>
    <t>龙头企业认定文书</t>
  </si>
  <si>
    <t>检查属于哪一等级认定，以有效期内的证书确认，并在相关网站查询或查看公示记录</t>
  </si>
  <si>
    <t>省级龙头企业、认定文件</t>
  </si>
  <si>
    <t>2022年1月认定为省级龙头企业，</t>
  </si>
  <si>
    <t>信用证明</t>
  </si>
  <si>
    <t>信用中国查询信用情况，并附资料证明</t>
  </si>
  <si>
    <t>二</t>
  </si>
  <si>
    <t>贴息申请表及申请文书</t>
  </si>
  <si>
    <t>三</t>
  </si>
  <si>
    <t>贷款利息资料</t>
  </si>
  <si>
    <t>贷款合同情况</t>
  </si>
  <si>
    <t>1.贷款银行；2、贷款期限；3、是否已结清；4、是否有逾期</t>
  </si>
  <si>
    <t>贷款用途证明材料</t>
  </si>
  <si>
    <t>1、符合文件要求的贷款使用金额;2、查贷款支付凭证、合同、发票、银行流水、入库单、记账凭证、贷款使用当月的序时账、银行对账单</t>
  </si>
  <si>
    <t>支付利息情况</t>
  </si>
  <si>
    <t>1、贷款发放日LPR利率；2、贷款使用金额；3、贷款使用时长；4、支付利息金额；5、符合政策文件的贴息金额；6、是否同一笔贷款有国家级或省级贴息；7、贴息年限不超过2年；8、申请的贷款本息已全部还清；9、符合条件的贷款是2022年1月1日起发放或存续的；10、国家级龙头企业贷款本金不超过1亿（含）、省级不超过6000万（含）、市级不超过3000万（含），超过部分不予贴息；11、龙头企业评级有变化的，按较高者 ；12、企业提供的贷款合同和利息凭证需带银行印章</t>
  </si>
  <si>
    <t>四</t>
  </si>
  <si>
    <t>合规性资料</t>
  </si>
  <si>
    <t>正常纳税凭证</t>
  </si>
  <si>
    <t>1、完税凭证；2、纳税信用等级；3、无欠税证明。以上凭证需企业提供带税务印章的，并提供网页截图</t>
  </si>
  <si>
    <t>承诺书</t>
  </si>
  <si>
    <t>固定格式</t>
  </si>
  <si>
    <t>贴息计算方法</t>
  </si>
  <si>
    <t>单位：</t>
  </si>
  <si>
    <t>单位：元</t>
  </si>
  <si>
    <t>企业申请情况</t>
  </si>
  <si>
    <t>审核情况</t>
  </si>
  <si>
    <t>贷款金额</t>
  </si>
  <si>
    <t>贷款发放日期</t>
  </si>
  <si>
    <t>贷款归还日期</t>
  </si>
  <si>
    <t>账面支付利息</t>
  </si>
  <si>
    <t>申请贴息金额</t>
  </si>
  <si>
    <t>贷款发放日LPR利率</t>
  </si>
  <si>
    <t>贷款使用金额</t>
  </si>
  <si>
    <t>贷款使用期限（天）</t>
  </si>
  <si>
    <t>符合条件贴息金额</t>
  </si>
  <si>
    <t>已贴息金额</t>
  </si>
  <si>
    <t>应贴息金额</t>
  </si>
  <si>
    <t>2024年下半年农业龙头企业贷款财政贴息扶持资金（第一批）发放汇总表</t>
  </si>
  <si>
    <t xml:space="preserve">                                                         金额单位：人民币.元</t>
  </si>
  <si>
    <t>借款人名称</t>
  </si>
  <si>
    <t>贷款银行</t>
  </si>
  <si>
    <t>合同贷款金额</t>
  </si>
  <si>
    <t>贷款发放金额</t>
  </si>
  <si>
    <t>申报贴息贷款金额</t>
  </si>
  <si>
    <t>核定贴息贷款金额</t>
  </si>
  <si>
    <t>贷款到期日</t>
  </si>
  <si>
    <t>贷款结清日期</t>
  </si>
  <si>
    <t>贷款合同年利率</t>
  </si>
  <si>
    <t>市场报价利率(LPR)</t>
  </si>
  <si>
    <t>贷款贴息比例</t>
  </si>
  <si>
    <t>申报计息天数(天)</t>
  </si>
  <si>
    <t>核定计息天数(天)</t>
  </si>
  <si>
    <t>申报贴息金额</t>
  </si>
  <si>
    <t>核定贴息金额</t>
  </si>
  <si>
    <t>备注</t>
  </si>
  <si>
    <t xml:space="preserve">海南晨海水产有限公司   </t>
  </si>
  <si>
    <t>三亚农村商业银行股份有限公司</t>
  </si>
  <si>
    <t>2020/9/7-2021/8/25按年利率5.5%；2021/8/25-2023/8/25按年利率7%。</t>
  </si>
  <si>
    <t>2020/9/14-2021/8/25按年利率5.5%；2021/8/25-2023/8/25按年利率7%。</t>
  </si>
  <si>
    <t>2020/9/16-2021/8/25按年利率5.5%；2021/8/25-2023/8/25按年利率7%。</t>
  </si>
  <si>
    <t>2020/9/18-2021/8/25按年利率5.5%；2021/8/25-2023/8/25按年利率7%。</t>
  </si>
  <si>
    <t>2020/9/23-2021/8/25按年利率5.5%；2021/8/25-2023/8/25按年利率7%。</t>
  </si>
  <si>
    <t>2020/12/28-2021/8/25按年利率5.5%；2021/8/25-2023/8/25按年利率7%。</t>
  </si>
  <si>
    <t>中信银行股份有限公司</t>
  </si>
  <si>
    <t>2023/9/27-2024/7/27按年利率4.5%；2024/7/27-2024/9/27按年利率4.4%。</t>
  </si>
  <si>
    <t>2023/10/16-2024/8/16按年利率4.5%；2024/8/16-2024/10/13按年利率4.4%。</t>
  </si>
  <si>
    <t>2023/10/19-2024/8/19按年利率4.5%；2024/8/19-2024/10/17按年利率4.4%。</t>
  </si>
  <si>
    <t>广发银行股份有限公司</t>
  </si>
  <si>
    <t>海南希源生态农业股份有限公司</t>
  </si>
  <si>
    <t>广发银行股份有限公司海口分行</t>
  </si>
  <si>
    <t>招商银行股份有限公司海口分行</t>
  </si>
  <si>
    <t>小计</t>
  </si>
  <si>
    <t>3</t>
  </si>
  <si>
    <t>三亚南果实业有限公司</t>
  </si>
  <si>
    <t>海南农村商业银行股份有限公司</t>
  </si>
  <si>
    <t>以审核为准</t>
  </si>
  <si>
    <t>逾期还本</t>
  </si>
  <si>
    <t>海南中本水产食品有限公司</t>
  </si>
  <si>
    <t>中信银行三亚分行</t>
  </si>
  <si>
    <t>远洋（海南）农业农村发展有限公司</t>
  </si>
  <si>
    <t>2022/10/25</t>
  </si>
  <si>
    <t>2023/04/25</t>
  </si>
  <si>
    <t>海南水果岛农业开发有限公司</t>
  </si>
  <si>
    <t>交通银行海南省分行营业部</t>
  </si>
  <si>
    <t>海口农村商业银行股份有限公司</t>
  </si>
  <si>
    <t>海南银行定安支行</t>
  </si>
  <si>
    <t>合计</t>
  </si>
  <si>
    <t>提供贷款资金使用金额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</si>
</sst>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  <numFmt numFmtId="177" formatCode="#,##0.00_ "/>
    <numFmt numFmtId="178" formatCode="yyyy/m/d;@"/>
  </numFmts>
  <fonts count="36">
    <font>
      <sz val="11"/>
      <color theme="1"/>
      <name val="等线"/>
      <charset val="134"/>
      <scheme val="minor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4"/>
      <color theme="1"/>
      <name val="等线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51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vertical="center" wrapText="1"/>
    </xf>
    <xf numFmtId="14" fontId="3" fillId="0" borderId="1" xfId="51" applyNumberFormat="1" applyFont="1" applyFill="1" applyBorder="1" applyAlignment="1">
      <alignment horizontal="center" vertical="center" wrapText="1"/>
    </xf>
    <xf numFmtId="14" fontId="2" fillId="0" borderId="1" xfId="51" applyNumberFormat="1" applyFont="1" applyFill="1" applyBorder="1" applyAlignment="1">
      <alignment horizontal="center" vertical="center"/>
    </xf>
    <xf numFmtId="10" fontId="2" fillId="0" borderId="1" xfId="50" applyNumberFormat="1" applyFont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 wrapText="1"/>
    </xf>
    <xf numFmtId="177" fontId="3" fillId="0" borderId="2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51" applyNumberFormat="1" applyFont="1" applyFill="1" applyBorder="1" applyAlignment="1">
      <alignment vertical="center" wrapText="1"/>
    </xf>
    <xf numFmtId="177" fontId="3" fillId="0" borderId="1" xfId="51" applyNumberFormat="1" applyFont="1" applyFill="1" applyBorder="1" applyAlignment="1">
      <alignment vertical="center"/>
    </xf>
    <xf numFmtId="43" fontId="2" fillId="0" borderId="1" xfId="49" applyFont="1" applyFill="1" applyBorder="1" applyAlignment="1">
      <alignment vertical="center"/>
    </xf>
    <xf numFmtId="10" fontId="2" fillId="0" borderId="1" xfId="5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right" vertical="center" wrapText="1"/>
    </xf>
    <xf numFmtId="177" fontId="3" fillId="0" borderId="3" xfId="51" applyNumberFormat="1" applyFont="1" applyFill="1" applyBorder="1" applyAlignment="1">
      <alignment horizontal="right" vertical="center"/>
    </xf>
    <xf numFmtId="177" fontId="3" fillId="0" borderId="1" xfId="51" applyNumberFormat="1" applyFont="1" applyFill="1" applyBorder="1" applyAlignment="1">
      <alignment horizontal="righ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43" fontId="7" fillId="0" borderId="0" xfId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0" xfId="1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43" fontId="11" fillId="0" borderId="0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vertical="center" shrinkToFit="1"/>
    </xf>
    <xf numFmtId="177" fontId="6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3" fontId="6" fillId="0" borderId="3" xfId="0" applyNumberFormat="1" applyFont="1" applyFill="1" applyBorder="1" applyAlignment="1">
      <alignment horizontal="center" vertical="center" wrapText="1"/>
    </xf>
    <xf numFmtId="177" fontId="10" fillId="0" borderId="1" xfId="51" applyNumberFormat="1" applyFont="1" applyFill="1" applyBorder="1" applyAlignment="1">
      <alignment vertical="center"/>
    </xf>
    <xf numFmtId="177" fontId="6" fillId="0" borderId="3" xfId="51" applyNumberFormat="1" applyFont="1" applyFill="1" applyBorder="1" applyAlignment="1">
      <alignment horizontal="center" vertical="center" wrapText="1"/>
    </xf>
    <xf numFmtId="14" fontId="10" fillId="0" borderId="1" xfId="5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177" fontId="6" fillId="0" borderId="4" xfId="51" applyNumberFormat="1" applyFont="1" applyFill="1" applyBorder="1" applyAlignment="1">
      <alignment horizontal="center" vertical="center" wrapText="1"/>
    </xf>
    <xf numFmtId="177" fontId="6" fillId="0" borderId="5" xfId="5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right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43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2" fillId="0" borderId="4" xfId="0" applyNumberFormat="1" applyFont="1" applyFill="1" applyBorder="1" applyAlignment="1">
      <alignment horizontal="center" vertical="center" wrapText="1"/>
    </xf>
    <xf numFmtId="177" fontId="3" fillId="0" borderId="4" xfId="51" applyNumberFormat="1" applyFont="1" applyFill="1" applyBorder="1" applyAlignment="1">
      <alignment horizontal="right" vertical="center"/>
    </xf>
    <xf numFmtId="177" fontId="3" fillId="0" borderId="5" xfId="51" applyNumberFormat="1" applyFont="1" applyFill="1" applyBorder="1" applyAlignment="1">
      <alignment horizontal="right" vertical="center"/>
    </xf>
    <xf numFmtId="43" fontId="2" fillId="0" borderId="1" xfId="49" applyFont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shrinkToFit="1"/>
    </xf>
    <xf numFmtId="177" fontId="10" fillId="0" borderId="4" xfId="0" applyNumberFormat="1" applyFont="1" applyFill="1" applyBorder="1" applyAlignment="1">
      <alignment horizontal="center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177" fontId="10" fillId="0" borderId="3" xfId="1" applyNumberFormat="1" applyFont="1" applyFill="1" applyBorder="1" applyAlignment="1">
      <alignment horizontal="center" vertical="center" shrinkToFit="1"/>
    </xf>
    <xf numFmtId="177" fontId="10" fillId="0" borderId="5" xfId="1" applyNumberFormat="1" applyFont="1" applyFill="1" applyBorder="1" applyAlignment="1">
      <alignment horizontal="center" vertical="center" shrinkToFit="1"/>
    </xf>
    <xf numFmtId="177" fontId="10" fillId="0" borderId="1" xfId="1" applyNumberFormat="1" applyFont="1" applyFill="1" applyBorder="1" applyAlignment="1">
      <alignment horizontal="center" vertical="center" shrinkToFit="1"/>
    </xf>
    <xf numFmtId="14" fontId="6" fillId="0" borderId="1" xfId="51" applyNumberFormat="1" applyFont="1" applyFill="1" applyBorder="1" applyAlignment="1">
      <alignment horizontal="center" vertical="center"/>
    </xf>
    <xf numFmtId="10" fontId="6" fillId="0" borderId="1" xfId="5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177" fontId="10" fillId="0" borderId="3" xfId="51" applyNumberFormat="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7" fontId="10" fillId="0" borderId="5" xfId="51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right" vertical="center" shrinkToFit="1"/>
    </xf>
    <xf numFmtId="43" fontId="5" fillId="4" borderId="6" xfId="1" applyFont="1" applyFill="1" applyBorder="1" applyAlignment="1">
      <alignment horizontal="center" vertical="center" shrinkToFit="1"/>
    </xf>
    <xf numFmtId="14" fontId="2" fillId="0" borderId="3" xfId="51" applyNumberFormat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 shrinkToFit="1"/>
    </xf>
    <xf numFmtId="43" fontId="6" fillId="0" borderId="6" xfId="1" applyFont="1" applyFill="1" applyBorder="1" applyAlignment="1">
      <alignment horizontal="center" vertical="center" shrinkToFit="1"/>
    </xf>
    <xf numFmtId="14" fontId="2" fillId="0" borderId="4" xfId="5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43" fontId="6" fillId="0" borderId="0" xfId="1" applyFont="1" applyFill="1" applyAlignment="1">
      <alignment vertical="center" wrapText="1"/>
    </xf>
    <xf numFmtId="177" fontId="10" fillId="0" borderId="6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 wrapText="1"/>
    </xf>
    <xf numFmtId="177" fontId="10" fillId="0" borderId="7" xfId="0" applyNumberFormat="1" applyFont="1" applyFill="1" applyBorder="1" applyAlignment="1">
      <alignment horizontal="right" vertical="center" shrinkToFit="1"/>
    </xf>
    <xf numFmtId="177" fontId="10" fillId="0" borderId="1" xfId="0" applyNumberFormat="1" applyFont="1" applyFill="1" applyBorder="1" applyAlignment="1">
      <alignment horizontal="right" vertical="center" wrapText="1"/>
    </xf>
    <xf numFmtId="43" fontId="5" fillId="4" borderId="6" xfId="1" applyFont="1" applyFill="1" applyBorder="1" applyAlignment="1">
      <alignment horizontal="right" vertical="center" shrinkToFit="1"/>
    </xf>
    <xf numFmtId="43" fontId="6" fillId="0" borderId="6" xfId="1" applyFont="1" applyFill="1" applyBorder="1" applyAlignment="1">
      <alignment horizontal="right" vertical="center" shrinkToFit="1"/>
    </xf>
    <xf numFmtId="177" fontId="12" fillId="0" borderId="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8" fontId="2" fillId="0" borderId="1" xfId="53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4" fontId="2" fillId="0" borderId="5" xfId="51" applyNumberFormat="1" applyFont="1" applyFill="1" applyBorder="1" applyAlignment="1">
      <alignment horizontal="center" vertical="center"/>
    </xf>
    <xf numFmtId="10" fontId="2" fillId="0" borderId="1" xfId="54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shrinkToFit="1"/>
    </xf>
    <xf numFmtId="178" fontId="2" fillId="0" borderId="1" xfId="52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百分比 2 2" xfId="50"/>
    <cellStyle name="常规 2 2" xfId="51"/>
    <cellStyle name="常规 7" xfId="52"/>
    <cellStyle name="常规 3" xfId="53"/>
    <cellStyle name="百分比 11" xfId="54"/>
    <cellStyle name="常规 2" xfId="55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workbookViewId="0">
      <selection activeCell="S39" sqref="S39:S44"/>
    </sheetView>
  </sheetViews>
  <sheetFormatPr defaultColWidth="9" defaultRowHeight="14" outlineLevelCol="6"/>
  <cols>
    <col min="1" max="1" width="7.75" style="157" customWidth="1"/>
    <col min="2" max="2" width="20.875" customWidth="1"/>
    <col min="3" max="4" width="29.25" customWidth="1"/>
    <col min="5" max="5" width="28.75" style="150" customWidth="1"/>
    <col min="6" max="6" width="27.125" customWidth="1"/>
    <col min="7" max="7" width="10.375" customWidth="1"/>
  </cols>
  <sheetData>
    <row r="1" ht="28.15" customHeight="1" spans="1:7">
      <c r="A1" s="158" t="s">
        <v>0</v>
      </c>
      <c r="B1" s="158"/>
      <c r="C1" s="158"/>
      <c r="D1" s="158"/>
      <c r="E1" s="158"/>
      <c r="F1" s="158"/>
      <c r="G1" s="158"/>
    </row>
    <row r="2" ht="28.15" customHeight="1" spans="1:2">
      <c r="A2" s="152" t="s">
        <v>1</v>
      </c>
      <c r="B2" s="152"/>
    </row>
    <row r="3" s="157" customFormat="1" ht="40.15" customHeight="1" spans="1:7">
      <c r="A3" s="154" t="s">
        <v>2</v>
      </c>
      <c r="B3" s="154" t="s">
        <v>3</v>
      </c>
      <c r="C3" s="154" t="s">
        <v>4</v>
      </c>
      <c r="D3" s="154" t="s">
        <v>5</v>
      </c>
      <c r="E3" s="159" t="s">
        <v>6</v>
      </c>
      <c r="F3" s="154" t="s">
        <v>7</v>
      </c>
      <c r="G3" s="154" t="s">
        <v>8</v>
      </c>
    </row>
    <row r="4" ht="40.15" customHeight="1" spans="1:7">
      <c r="A4" s="154" t="s">
        <v>9</v>
      </c>
      <c r="B4" s="156" t="s">
        <v>10</v>
      </c>
      <c r="C4" s="156"/>
      <c r="D4" s="156"/>
      <c r="E4" s="155"/>
      <c r="F4" s="156"/>
      <c r="G4" s="156"/>
    </row>
    <row r="5" ht="47.65" customHeight="1" spans="1:7">
      <c r="A5" s="154">
        <v>1</v>
      </c>
      <c r="B5" s="156" t="s">
        <v>11</v>
      </c>
      <c r="C5" s="155" t="s">
        <v>12</v>
      </c>
      <c r="D5" s="155" t="s">
        <v>13</v>
      </c>
      <c r="E5" s="155" t="s">
        <v>14</v>
      </c>
      <c r="F5" s="155" t="s">
        <v>15</v>
      </c>
      <c r="G5" s="156"/>
    </row>
    <row r="6" ht="40.15" customHeight="1" spans="1:7">
      <c r="A6" s="154">
        <v>2</v>
      </c>
      <c r="B6" s="156" t="s">
        <v>16</v>
      </c>
      <c r="C6" s="156" t="s">
        <v>17</v>
      </c>
      <c r="D6" s="156" t="s">
        <v>18</v>
      </c>
      <c r="E6" s="155" t="s">
        <v>19</v>
      </c>
      <c r="F6" s="156" t="s">
        <v>15</v>
      </c>
      <c r="G6" s="156"/>
    </row>
    <row r="7" ht="45.75" customHeight="1" spans="1:7">
      <c r="A7" s="154">
        <v>3</v>
      </c>
      <c r="B7" s="156" t="s">
        <v>20</v>
      </c>
      <c r="C7" s="155" t="s">
        <v>21</v>
      </c>
      <c r="D7" s="155" t="s">
        <v>22</v>
      </c>
      <c r="E7" s="155" t="s">
        <v>23</v>
      </c>
      <c r="F7" s="155" t="s">
        <v>15</v>
      </c>
      <c r="G7" s="156"/>
    </row>
    <row r="8" ht="40.15" customHeight="1" spans="1:7">
      <c r="A8" s="154">
        <v>4</v>
      </c>
      <c r="B8" s="156" t="s">
        <v>24</v>
      </c>
      <c r="C8" s="155" t="s">
        <v>25</v>
      </c>
      <c r="D8" s="156"/>
      <c r="E8" s="155"/>
      <c r="F8" s="156"/>
      <c r="G8" s="156"/>
    </row>
    <row r="9" ht="40.15" customHeight="1" spans="1:7">
      <c r="A9" s="154" t="s">
        <v>26</v>
      </c>
      <c r="B9" s="156" t="s">
        <v>27</v>
      </c>
      <c r="C9" s="156"/>
      <c r="D9" s="156"/>
      <c r="E9" s="155"/>
      <c r="F9" s="156"/>
      <c r="G9" s="156"/>
    </row>
    <row r="10" ht="40.15" customHeight="1" spans="1:7">
      <c r="A10" s="154" t="s">
        <v>28</v>
      </c>
      <c r="B10" s="156" t="s">
        <v>29</v>
      </c>
      <c r="C10" s="156"/>
      <c r="D10" s="156"/>
      <c r="E10" s="155"/>
      <c r="F10" s="156"/>
      <c r="G10" s="156"/>
    </row>
    <row r="11" ht="47.65" customHeight="1" spans="1:7">
      <c r="A11" s="154">
        <v>1</v>
      </c>
      <c r="B11" s="156" t="s">
        <v>30</v>
      </c>
      <c r="C11" s="155" t="s">
        <v>31</v>
      </c>
      <c r="D11" s="155"/>
      <c r="E11" s="155"/>
      <c r="F11" s="155"/>
      <c r="G11" s="156"/>
    </row>
    <row r="12" ht="66.75" customHeight="1" spans="1:7">
      <c r="A12" s="154">
        <v>2</v>
      </c>
      <c r="B12" s="156" t="s">
        <v>32</v>
      </c>
      <c r="C12" s="155" t="s">
        <v>33</v>
      </c>
      <c r="D12" s="155"/>
      <c r="E12" s="155"/>
      <c r="F12" s="155"/>
      <c r="G12" s="156"/>
    </row>
    <row r="13" ht="232.15" customHeight="1" spans="1:7">
      <c r="A13" s="154">
        <v>3</v>
      </c>
      <c r="B13" s="156" t="s">
        <v>34</v>
      </c>
      <c r="C13" s="155" t="s">
        <v>35</v>
      </c>
      <c r="D13" s="155"/>
      <c r="E13" s="155"/>
      <c r="F13" s="155"/>
      <c r="G13" s="156"/>
    </row>
    <row r="14" ht="40.15" customHeight="1" spans="1:7">
      <c r="A14" s="154" t="s">
        <v>36</v>
      </c>
      <c r="B14" s="156" t="s">
        <v>37</v>
      </c>
      <c r="C14" s="156"/>
      <c r="D14" s="156"/>
      <c r="E14" s="155"/>
      <c r="F14" s="156"/>
      <c r="G14" s="156"/>
    </row>
    <row r="15" ht="58.9" customHeight="1" spans="1:7">
      <c r="A15" s="154">
        <v>1</v>
      </c>
      <c r="B15" s="156" t="s">
        <v>38</v>
      </c>
      <c r="C15" s="155" t="s">
        <v>39</v>
      </c>
      <c r="D15" s="155"/>
      <c r="E15" s="155"/>
      <c r="F15" s="155"/>
      <c r="G15" s="156"/>
    </row>
    <row r="16" ht="53.25" customHeight="1" spans="1:7">
      <c r="A16" s="154">
        <v>2</v>
      </c>
      <c r="B16" s="156" t="s">
        <v>40</v>
      </c>
      <c r="C16" s="156" t="s">
        <v>41</v>
      </c>
      <c r="D16" s="156"/>
      <c r="E16" s="155"/>
      <c r="F16" s="156"/>
      <c r="G16" s="156"/>
    </row>
    <row r="17" ht="28.15" customHeight="1"/>
    <row r="18" ht="28.15" customHeight="1"/>
    <row r="19" ht="28.15" customHeight="1"/>
    <row r="20" ht="28.15" customHeight="1"/>
    <row r="21" ht="28.15" customHeight="1"/>
    <row r="22" ht="28.15" customHeight="1"/>
    <row r="23" ht="28.15" customHeight="1"/>
    <row r="24" ht="28.15" customHeight="1"/>
    <row r="25" ht="28.15" customHeight="1"/>
    <row r="26" ht="28.15" customHeight="1"/>
    <row r="27" ht="28.15" customHeight="1"/>
    <row r="28" ht="28.15" customHeight="1"/>
    <row r="29" ht="28.15" customHeight="1"/>
    <row r="30" ht="28.15" customHeight="1"/>
    <row r="31" ht="28.15" customHeight="1"/>
    <row r="32" ht="28.15" customHeight="1"/>
  </sheetData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S39" sqref="S39:S44"/>
    </sheetView>
  </sheetViews>
  <sheetFormatPr defaultColWidth="9" defaultRowHeight="14"/>
  <cols>
    <col min="2" max="2" width="14.5" customWidth="1"/>
    <col min="3" max="3" width="8.625" customWidth="1"/>
    <col min="4" max="4" width="9.125" customWidth="1"/>
    <col min="5" max="5" width="12.875" customWidth="1"/>
    <col min="6" max="6" width="10.75" customWidth="1"/>
    <col min="7" max="7" width="11.125" customWidth="1"/>
    <col min="8" max="8" width="14" customWidth="1"/>
    <col min="9" max="9" width="11.875" customWidth="1"/>
    <col min="10" max="10" width="12.5" customWidth="1"/>
    <col min="11" max="11" width="15" customWidth="1"/>
    <col min="12" max="12" width="12.75" customWidth="1"/>
  </cols>
  <sheetData>
    <row r="1" ht="28.15" customHeight="1" spans="1:12">
      <c r="A1" s="151" t="s">
        <v>42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ht="28.15" customHeight="1" spans="1:12">
      <c r="A2" s="152" t="s">
        <v>43</v>
      </c>
      <c r="B2" s="152"/>
      <c r="C2" s="152"/>
      <c r="D2" s="152"/>
      <c r="E2" s="152"/>
      <c r="L2" t="s">
        <v>44</v>
      </c>
    </row>
    <row r="3" ht="28.15" customHeight="1" spans="1:12">
      <c r="A3" s="153" t="s">
        <v>2</v>
      </c>
      <c r="B3" s="154" t="s">
        <v>45</v>
      </c>
      <c r="C3" s="154"/>
      <c r="D3" s="154"/>
      <c r="E3" s="154"/>
      <c r="F3" s="154"/>
      <c r="G3" s="154" t="s">
        <v>46</v>
      </c>
      <c r="H3" s="154"/>
      <c r="I3" s="154"/>
      <c r="J3" s="154"/>
      <c r="K3" s="154"/>
      <c r="L3" s="154"/>
    </row>
    <row r="4" s="150" customFormat="1" ht="35.1" customHeight="1" spans="1:12">
      <c r="A4" s="155"/>
      <c r="B4" s="155" t="s">
        <v>47</v>
      </c>
      <c r="C4" s="155" t="s">
        <v>48</v>
      </c>
      <c r="D4" s="155" t="s">
        <v>49</v>
      </c>
      <c r="E4" s="155" t="s">
        <v>50</v>
      </c>
      <c r="F4" s="155" t="s">
        <v>51</v>
      </c>
      <c r="G4" s="155" t="s">
        <v>52</v>
      </c>
      <c r="H4" s="155" t="s">
        <v>53</v>
      </c>
      <c r="I4" s="155" t="s">
        <v>54</v>
      </c>
      <c r="J4" s="155" t="s">
        <v>55</v>
      </c>
      <c r="K4" s="155" t="s">
        <v>56</v>
      </c>
      <c r="L4" s="155" t="s">
        <v>57</v>
      </c>
    </row>
    <row r="5" ht="35.1" customHeight="1" spans="1:1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ht="35.1" customHeight="1" spans="1:12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ht="35.1" customHeight="1" spans="1:12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ht="35.1" customHeight="1" spans="1:12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</row>
    <row r="9" ht="35.1" customHeight="1" spans="1:12">
      <c r="A9" s="156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</row>
    <row r="10" ht="35.1" customHeight="1" spans="1:12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</row>
    <row r="11" ht="35.1" customHeight="1" spans="1:12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</row>
    <row r="12" ht="35.1" customHeight="1" spans="1:12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</row>
    <row r="13" ht="35.1" customHeight="1" spans="1:12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</row>
    <row r="14" ht="35.1" customHeight="1" spans="1:12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</row>
    <row r="15" ht="35.1" customHeight="1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</row>
    <row r="16" ht="28.15" customHeight="1"/>
    <row r="17" ht="28.15" customHeight="1"/>
    <row r="18" ht="28.15" customHeight="1"/>
    <row r="19" ht="28.15" customHeight="1"/>
    <row r="20" ht="28.15" customHeight="1"/>
    <row r="21" ht="28.15" customHeight="1"/>
    <row r="22" ht="28.15" customHeight="1"/>
    <row r="23" ht="28.15" customHeight="1"/>
    <row r="24" ht="28.15" customHeight="1"/>
    <row r="25" ht="28.15" customHeight="1"/>
    <row r="26" ht="28.15" customHeight="1"/>
    <row r="27" ht="28.15" customHeight="1"/>
    <row r="28" ht="28.15" customHeight="1"/>
    <row r="29" ht="28.15" customHeight="1"/>
    <row r="30" ht="28.15" customHeight="1"/>
    <row r="31" ht="28.15" customHeight="1"/>
  </sheetData>
  <mergeCells count="4">
    <mergeCell ref="A1:L1"/>
    <mergeCell ref="A2:E2"/>
    <mergeCell ref="B3:F3"/>
    <mergeCell ref="G3:L3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0"/>
  <sheetViews>
    <sheetView tabSelected="1" zoomScale="70" zoomScaleNormal="70" topLeftCell="C1" workbookViewId="0">
      <pane ySplit="3" topLeftCell="A19" activePane="bottomLeft" state="frozen"/>
      <selection/>
      <selection pane="bottomLeft" activeCell="T11" sqref="T11"/>
    </sheetView>
  </sheetViews>
  <sheetFormatPr defaultColWidth="9" defaultRowHeight="23.1" customHeight="1"/>
  <cols>
    <col min="1" max="1" width="5.125" style="33" customWidth="1"/>
    <col min="2" max="2" width="9.475" style="33" customWidth="1"/>
    <col min="3" max="3" width="11.25" style="33" customWidth="1"/>
    <col min="4" max="4" width="16.0666666666667" style="33" customWidth="1"/>
    <col min="5" max="5" width="13.45" style="34" customWidth="1"/>
    <col min="6" max="7" width="11.975" style="34" customWidth="1"/>
    <col min="8" max="8" width="11.975" style="33" customWidth="1"/>
    <col min="9" max="9" width="11.3583333333333" style="33" customWidth="1"/>
    <col min="10" max="10" width="11.875" style="33" customWidth="1"/>
    <col min="11" max="11" width="16.5583333333333" style="33" customWidth="1"/>
    <col min="12" max="12" width="9.75" style="33" customWidth="1"/>
    <col min="13" max="13" width="8.375" style="35" customWidth="1"/>
    <col min="14" max="15" width="7.625" style="33" customWidth="1"/>
    <col min="16" max="16" width="15.75" style="36" customWidth="1"/>
    <col min="17" max="17" width="15.25" style="37" customWidth="1"/>
    <col min="18" max="18" width="10.125" style="33" customWidth="1"/>
    <col min="19" max="19" width="14.125" style="38"/>
    <col min="20" max="20" width="14.625" style="38" customWidth="1"/>
    <col min="21" max="21" width="11.125" style="38" customWidth="1"/>
    <col min="22" max="16384" width="9" style="38"/>
  </cols>
  <sheetData>
    <row r="1" ht="30" customHeight="1" spans="1:18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22"/>
      <c r="R1" s="39"/>
    </row>
    <row r="2" ht="16.5" customHeight="1" spans="1:18">
      <c r="A2" s="40" t="s">
        <v>59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0"/>
      <c r="R2" s="40"/>
    </row>
    <row r="3" s="29" customFormat="1" ht="27" customHeight="1" spans="1:18">
      <c r="A3" s="42" t="s">
        <v>2</v>
      </c>
      <c r="B3" s="42" t="s">
        <v>60</v>
      </c>
      <c r="C3" s="42" t="s">
        <v>61</v>
      </c>
      <c r="D3" s="42" t="s">
        <v>62</v>
      </c>
      <c r="E3" s="42" t="s">
        <v>63</v>
      </c>
      <c r="F3" s="43" t="s">
        <v>64</v>
      </c>
      <c r="G3" s="43" t="s">
        <v>65</v>
      </c>
      <c r="H3" s="42" t="s">
        <v>48</v>
      </c>
      <c r="I3" s="42" t="s">
        <v>66</v>
      </c>
      <c r="J3" s="42" t="s">
        <v>67</v>
      </c>
      <c r="K3" s="42" t="s">
        <v>68</v>
      </c>
      <c r="L3" s="90" t="s">
        <v>69</v>
      </c>
      <c r="M3" s="42" t="s">
        <v>70</v>
      </c>
      <c r="N3" s="42" t="s">
        <v>71</v>
      </c>
      <c r="O3" s="42" t="s">
        <v>72</v>
      </c>
      <c r="P3" s="91" t="s">
        <v>73</v>
      </c>
      <c r="Q3" s="91" t="s">
        <v>74</v>
      </c>
      <c r="R3" s="42" t="s">
        <v>75</v>
      </c>
    </row>
    <row r="4" s="30" customFormat="1" ht="50" customHeight="1" spans="1:19">
      <c r="A4" s="44">
        <v>1</v>
      </c>
      <c r="B4" s="45" t="s">
        <v>76</v>
      </c>
      <c r="C4" s="46" t="s">
        <v>77</v>
      </c>
      <c r="D4" s="47">
        <v>29500000</v>
      </c>
      <c r="E4" s="47">
        <v>18500000</v>
      </c>
      <c r="F4" s="47">
        <v>18500000</v>
      </c>
      <c r="G4" s="48">
        <f>F4-G5-G6-G7-G8-G11-G9-G10</f>
        <v>3500000</v>
      </c>
      <c r="H4" s="49">
        <v>44081</v>
      </c>
      <c r="I4" s="62">
        <v>45710</v>
      </c>
      <c r="J4" s="49">
        <v>45428</v>
      </c>
      <c r="K4" s="92" t="s">
        <v>78</v>
      </c>
      <c r="L4" s="93">
        <v>0.0385</v>
      </c>
      <c r="M4" s="92">
        <v>0.5</v>
      </c>
      <c r="N4" s="59">
        <v>720</v>
      </c>
      <c r="O4" s="59">
        <f>IF(J4-H4&gt;730,730,J4-H4)</f>
        <v>730</v>
      </c>
      <c r="P4" s="94">
        <v>681744.09</v>
      </c>
      <c r="Q4" s="97">
        <f>G4*L4*M4*O4/360</f>
        <v>136621.527777778</v>
      </c>
      <c r="R4" s="59"/>
      <c r="S4" s="123"/>
    </row>
    <row r="5" s="30" customFormat="1" ht="50" customHeight="1" spans="1:19">
      <c r="A5" s="44"/>
      <c r="B5" s="50"/>
      <c r="C5" s="46"/>
      <c r="D5" s="51"/>
      <c r="E5" s="51"/>
      <c r="F5" s="51"/>
      <c r="G5" s="48">
        <v>500000</v>
      </c>
      <c r="H5" s="49">
        <v>44081</v>
      </c>
      <c r="I5" s="62">
        <v>45710</v>
      </c>
      <c r="J5" s="49">
        <v>44285</v>
      </c>
      <c r="K5" s="92" t="s">
        <v>78</v>
      </c>
      <c r="L5" s="93">
        <v>0.0385</v>
      </c>
      <c r="M5" s="92">
        <v>0.5</v>
      </c>
      <c r="N5" s="59">
        <v>720</v>
      </c>
      <c r="O5" s="59">
        <f>IF(J5-H5&gt;730,730,J5-H5)</f>
        <v>204</v>
      </c>
      <c r="P5" s="95"/>
      <c r="Q5" s="97">
        <f t="shared" ref="Q5:Q11" si="0">G5*L5*M5*O5/360</f>
        <v>5454.16666666667</v>
      </c>
      <c r="R5" s="59"/>
      <c r="S5" s="123"/>
    </row>
    <row r="6" s="30" customFormat="1" ht="50" customHeight="1" spans="1:19">
      <c r="A6" s="44"/>
      <c r="B6" s="50"/>
      <c r="C6" s="46"/>
      <c r="D6" s="51"/>
      <c r="E6" s="51"/>
      <c r="F6" s="51"/>
      <c r="G6" s="48">
        <v>500000</v>
      </c>
      <c r="H6" s="49">
        <v>44081</v>
      </c>
      <c r="I6" s="62">
        <v>45710</v>
      </c>
      <c r="J6" s="49">
        <v>44470</v>
      </c>
      <c r="K6" s="92" t="s">
        <v>78</v>
      </c>
      <c r="L6" s="93">
        <v>0.0385</v>
      </c>
      <c r="M6" s="92">
        <v>0.5</v>
      </c>
      <c r="N6" s="59">
        <v>720</v>
      </c>
      <c r="O6" s="59">
        <f t="shared" ref="O6:O19" si="1">IF(J6-H6&gt;730,730,J6-H6)</f>
        <v>389</v>
      </c>
      <c r="P6" s="95"/>
      <c r="Q6" s="97">
        <f t="shared" si="0"/>
        <v>10400.3472222222</v>
      </c>
      <c r="R6" s="59"/>
      <c r="S6" s="123"/>
    </row>
    <row r="7" s="30" customFormat="1" ht="50" customHeight="1" spans="1:19">
      <c r="A7" s="44"/>
      <c r="B7" s="50"/>
      <c r="C7" s="46"/>
      <c r="D7" s="51"/>
      <c r="E7" s="51"/>
      <c r="F7" s="51"/>
      <c r="G7" s="48">
        <v>2000000</v>
      </c>
      <c r="H7" s="49">
        <v>44081</v>
      </c>
      <c r="I7" s="62">
        <v>45710</v>
      </c>
      <c r="J7" s="49">
        <v>44650</v>
      </c>
      <c r="K7" s="92" t="s">
        <v>78</v>
      </c>
      <c r="L7" s="93">
        <v>0.0385</v>
      </c>
      <c r="M7" s="92">
        <v>0.5</v>
      </c>
      <c r="N7" s="59">
        <v>720</v>
      </c>
      <c r="O7" s="59">
        <f t="shared" si="1"/>
        <v>569</v>
      </c>
      <c r="P7" s="95"/>
      <c r="Q7" s="97">
        <f t="shared" si="0"/>
        <v>60851.3888888889</v>
      </c>
      <c r="R7" s="59"/>
      <c r="S7" s="123"/>
    </row>
    <row r="8" s="30" customFormat="1" ht="50" customHeight="1" spans="1:19">
      <c r="A8" s="44"/>
      <c r="B8" s="50"/>
      <c r="C8" s="46"/>
      <c r="D8" s="51"/>
      <c r="E8" s="51"/>
      <c r="F8" s="51"/>
      <c r="G8" s="52">
        <v>5000000</v>
      </c>
      <c r="H8" s="49">
        <v>44081</v>
      </c>
      <c r="I8" s="62">
        <v>45710</v>
      </c>
      <c r="J8" s="49">
        <v>45107</v>
      </c>
      <c r="K8" s="92" t="s">
        <v>78</v>
      </c>
      <c r="L8" s="93">
        <v>0.0385</v>
      </c>
      <c r="M8" s="92">
        <v>0.5</v>
      </c>
      <c r="N8" s="59">
        <v>720</v>
      </c>
      <c r="O8" s="59">
        <f t="shared" si="1"/>
        <v>730</v>
      </c>
      <c r="P8" s="95"/>
      <c r="Q8" s="97">
        <f t="shared" si="0"/>
        <v>195173.611111111</v>
      </c>
      <c r="R8" s="59"/>
      <c r="S8" s="123"/>
    </row>
    <row r="9" s="30" customFormat="1" ht="50" customHeight="1" spans="1:19">
      <c r="A9" s="44"/>
      <c r="B9" s="50"/>
      <c r="C9" s="46"/>
      <c r="D9" s="51"/>
      <c r="E9" s="51"/>
      <c r="F9" s="51"/>
      <c r="G9" s="48">
        <v>500000</v>
      </c>
      <c r="H9" s="49">
        <v>44081</v>
      </c>
      <c r="I9" s="62">
        <v>45710</v>
      </c>
      <c r="J9" s="49">
        <v>45134</v>
      </c>
      <c r="K9" s="92" t="s">
        <v>78</v>
      </c>
      <c r="L9" s="93">
        <v>0.0385</v>
      </c>
      <c r="M9" s="92">
        <v>0.5</v>
      </c>
      <c r="N9" s="59">
        <v>720</v>
      </c>
      <c r="O9" s="59">
        <f t="shared" si="1"/>
        <v>730</v>
      </c>
      <c r="P9" s="95"/>
      <c r="Q9" s="97">
        <f t="shared" si="0"/>
        <v>19517.3611111111</v>
      </c>
      <c r="R9" s="59"/>
      <c r="S9" s="123"/>
    </row>
    <row r="10" s="30" customFormat="1" ht="50" customHeight="1" spans="1:19">
      <c r="A10" s="44"/>
      <c r="B10" s="50"/>
      <c r="C10" s="46"/>
      <c r="D10" s="51"/>
      <c r="E10" s="51"/>
      <c r="F10" s="51"/>
      <c r="G10" s="48">
        <v>500000</v>
      </c>
      <c r="H10" s="49">
        <v>44081</v>
      </c>
      <c r="I10" s="62">
        <v>45710</v>
      </c>
      <c r="J10" s="49">
        <v>45230</v>
      </c>
      <c r="K10" s="92" t="s">
        <v>78</v>
      </c>
      <c r="L10" s="93">
        <v>0.0385</v>
      </c>
      <c r="M10" s="92">
        <v>0.5</v>
      </c>
      <c r="N10" s="59">
        <v>720</v>
      </c>
      <c r="O10" s="59">
        <f t="shared" si="1"/>
        <v>730</v>
      </c>
      <c r="P10" s="95"/>
      <c r="Q10" s="97">
        <f t="shared" si="0"/>
        <v>19517.3611111111</v>
      </c>
      <c r="R10" s="59"/>
      <c r="S10" s="123"/>
    </row>
    <row r="11" s="30" customFormat="1" ht="50" customHeight="1" spans="1:19">
      <c r="A11" s="44"/>
      <c r="B11" s="50"/>
      <c r="C11" s="46"/>
      <c r="D11" s="51"/>
      <c r="E11" s="53"/>
      <c r="F11" s="53"/>
      <c r="G11" s="52">
        <v>6000000</v>
      </c>
      <c r="H11" s="49">
        <v>44081</v>
      </c>
      <c r="I11" s="62">
        <v>45710</v>
      </c>
      <c r="J11" s="49">
        <v>45412</v>
      </c>
      <c r="K11" s="92" t="s">
        <v>78</v>
      </c>
      <c r="L11" s="93">
        <v>0.0385</v>
      </c>
      <c r="M11" s="92">
        <v>0.5</v>
      </c>
      <c r="N11" s="59">
        <v>720</v>
      </c>
      <c r="O11" s="59">
        <f t="shared" si="1"/>
        <v>730</v>
      </c>
      <c r="P11" s="96"/>
      <c r="Q11" s="97">
        <f>G11*L11*M11*O11/360-0.01</f>
        <v>234208.323333333</v>
      </c>
      <c r="R11" s="59"/>
      <c r="S11" s="123"/>
    </row>
    <row r="12" s="30" customFormat="1" ht="50" customHeight="1" spans="1:19">
      <c r="A12" s="44"/>
      <c r="B12" s="50"/>
      <c r="C12" s="46"/>
      <c r="D12" s="51"/>
      <c r="E12" s="54">
        <v>3150000</v>
      </c>
      <c r="F12" s="54">
        <v>3150000</v>
      </c>
      <c r="G12" s="54">
        <f t="shared" ref="G12:G20" si="2">F12</f>
        <v>3150000</v>
      </c>
      <c r="H12" s="49">
        <v>44088</v>
      </c>
      <c r="I12" s="62">
        <v>45710</v>
      </c>
      <c r="J12" s="49">
        <v>45428</v>
      </c>
      <c r="K12" s="92" t="s">
        <v>79</v>
      </c>
      <c r="L12" s="93">
        <v>0.0385</v>
      </c>
      <c r="M12" s="92">
        <v>0.5</v>
      </c>
      <c r="N12" s="59">
        <v>720</v>
      </c>
      <c r="O12" s="59">
        <f t="shared" si="1"/>
        <v>730</v>
      </c>
      <c r="P12" s="97">
        <v>122959.375</v>
      </c>
      <c r="Q12" s="97">
        <f t="shared" ref="Q12:Q20" si="3">G12*L12*M12*O12/360</f>
        <v>122959.375</v>
      </c>
      <c r="R12" s="59"/>
      <c r="S12" s="123"/>
    </row>
    <row r="13" s="30" customFormat="1" ht="50" customHeight="1" spans="1:19">
      <c r="A13" s="44"/>
      <c r="B13" s="50"/>
      <c r="C13" s="46"/>
      <c r="D13" s="51"/>
      <c r="E13" s="54">
        <v>4006925</v>
      </c>
      <c r="F13" s="54">
        <v>4006925</v>
      </c>
      <c r="G13" s="54">
        <f t="shared" si="2"/>
        <v>4006925</v>
      </c>
      <c r="H13" s="49">
        <v>44090</v>
      </c>
      <c r="I13" s="62">
        <v>45710</v>
      </c>
      <c r="J13" s="49">
        <v>45428</v>
      </c>
      <c r="K13" s="92" t="s">
        <v>80</v>
      </c>
      <c r="L13" s="93">
        <v>0.0385</v>
      </c>
      <c r="M13" s="92">
        <v>0.5</v>
      </c>
      <c r="N13" s="59">
        <v>720</v>
      </c>
      <c r="O13" s="59">
        <f t="shared" si="1"/>
        <v>730</v>
      </c>
      <c r="P13" s="97">
        <v>156409.204340278</v>
      </c>
      <c r="Q13" s="97">
        <f t="shared" si="3"/>
        <v>156409.204340278</v>
      </c>
      <c r="R13" s="59"/>
      <c r="S13" s="123"/>
    </row>
    <row r="14" s="30" customFormat="1" ht="50" customHeight="1" spans="1:19">
      <c r="A14" s="44"/>
      <c r="B14" s="50"/>
      <c r="C14" s="46"/>
      <c r="D14" s="51"/>
      <c r="E14" s="54">
        <v>1200111</v>
      </c>
      <c r="F14" s="54">
        <v>1200111</v>
      </c>
      <c r="G14" s="54">
        <f t="shared" si="2"/>
        <v>1200111</v>
      </c>
      <c r="H14" s="49">
        <v>44092</v>
      </c>
      <c r="I14" s="62">
        <v>45710</v>
      </c>
      <c r="J14" s="49">
        <v>45428</v>
      </c>
      <c r="K14" s="92" t="s">
        <v>81</v>
      </c>
      <c r="L14" s="93">
        <v>0.0385</v>
      </c>
      <c r="M14" s="92">
        <v>0.5</v>
      </c>
      <c r="N14" s="59">
        <v>720</v>
      </c>
      <c r="O14" s="59">
        <f t="shared" si="1"/>
        <v>730</v>
      </c>
      <c r="P14" s="97">
        <v>46845.9995208333</v>
      </c>
      <c r="Q14" s="97">
        <f t="shared" si="3"/>
        <v>46845.9995208333</v>
      </c>
      <c r="R14" s="59"/>
      <c r="S14" s="123"/>
    </row>
    <row r="15" s="30" customFormat="1" ht="50" customHeight="1" spans="1:19">
      <c r="A15" s="44"/>
      <c r="B15" s="50"/>
      <c r="C15" s="46"/>
      <c r="D15" s="51"/>
      <c r="E15" s="54">
        <v>500000</v>
      </c>
      <c r="F15" s="54">
        <v>500000</v>
      </c>
      <c r="G15" s="54">
        <f t="shared" si="2"/>
        <v>500000</v>
      </c>
      <c r="H15" s="49">
        <v>44092</v>
      </c>
      <c r="I15" s="62">
        <v>45710</v>
      </c>
      <c r="J15" s="49">
        <v>45428</v>
      </c>
      <c r="K15" s="92" t="s">
        <v>81</v>
      </c>
      <c r="L15" s="93">
        <v>0.0385</v>
      </c>
      <c r="M15" s="92">
        <v>0.5</v>
      </c>
      <c r="N15" s="59">
        <v>720</v>
      </c>
      <c r="O15" s="59">
        <f t="shared" si="1"/>
        <v>730</v>
      </c>
      <c r="P15" s="97">
        <v>19517.3611111111</v>
      </c>
      <c r="Q15" s="97">
        <f t="shared" si="3"/>
        <v>19517.3611111111</v>
      </c>
      <c r="R15" s="59"/>
      <c r="S15" s="123"/>
    </row>
    <row r="16" s="30" customFormat="1" ht="50" customHeight="1" spans="1:19">
      <c r="A16" s="44"/>
      <c r="B16" s="50"/>
      <c r="C16" s="46"/>
      <c r="D16" s="51"/>
      <c r="E16" s="54">
        <v>500000</v>
      </c>
      <c r="F16" s="54">
        <v>500000</v>
      </c>
      <c r="G16" s="54">
        <f t="shared" si="2"/>
        <v>500000</v>
      </c>
      <c r="H16" s="49">
        <v>44092</v>
      </c>
      <c r="I16" s="62">
        <v>45710</v>
      </c>
      <c r="J16" s="49">
        <v>45428</v>
      </c>
      <c r="K16" s="92" t="s">
        <v>81</v>
      </c>
      <c r="L16" s="93">
        <v>0.0385</v>
      </c>
      <c r="M16" s="92">
        <v>0.5</v>
      </c>
      <c r="N16" s="59">
        <v>720</v>
      </c>
      <c r="O16" s="59">
        <f t="shared" si="1"/>
        <v>730</v>
      </c>
      <c r="P16" s="97">
        <v>19517.3611111111</v>
      </c>
      <c r="Q16" s="97">
        <f t="shared" si="3"/>
        <v>19517.3611111111</v>
      </c>
      <c r="R16" s="59"/>
      <c r="S16" s="123"/>
    </row>
    <row r="17" s="30" customFormat="1" ht="50" customHeight="1" spans="1:19">
      <c r="A17" s="44"/>
      <c r="B17" s="50"/>
      <c r="C17" s="46"/>
      <c r="D17" s="51"/>
      <c r="E17" s="54">
        <v>318254</v>
      </c>
      <c r="F17" s="54">
        <v>318254</v>
      </c>
      <c r="G17" s="54">
        <f t="shared" si="2"/>
        <v>318254</v>
      </c>
      <c r="H17" s="49">
        <v>44092</v>
      </c>
      <c r="I17" s="62">
        <v>45710</v>
      </c>
      <c r="J17" s="49">
        <v>45428</v>
      </c>
      <c r="K17" s="92" t="s">
        <v>81</v>
      </c>
      <c r="L17" s="93">
        <v>0.0385</v>
      </c>
      <c r="M17" s="92">
        <v>0.5</v>
      </c>
      <c r="N17" s="59">
        <v>720</v>
      </c>
      <c r="O17" s="59">
        <f t="shared" si="1"/>
        <v>730</v>
      </c>
      <c r="P17" s="97">
        <v>12422.9564861111</v>
      </c>
      <c r="Q17" s="97">
        <f t="shared" si="3"/>
        <v>12422.9564861111</v>
      </c>
      <c r="R17" s="59"/>
      <c r="S17" s="123"/>
    </row>
    <row r="18" s="30" customFormat="1" ht="50" customHeight="1" spans="1:19">
      <c r="A18" s="44"/>
      <c r="B18" s="50"/>
      <c r="C18" s="46"/>
      <c r="D18" s="51"/>
      <c r="E18" s="54">
        <v>1324400</v>
      </c>
      <c r="F18" s="54">
        <v>1324400</v>
      </c>
      <c r="G18" s="54">
        <f t="shared" si="2"/>
        <v>1324400</v>
      </c>
      <c r="H18" s="49">
        <v>44097</v>
      </c>
      <c r="I18" s="62">
        <v>45710</v>
      </c>
      <c r="J18" s="49">
        <v>45428</v>
      </c>
      <c r="K18" s="92" t="s">
        <v>82</v>
      </c>
      <c r="L18" s="93">
        <v>0.0385</v>
      </c>
      <c r="M18" s="92">
        <v>0.5</v>
      </c>
      <c r="N18" s="59">
        <v>720</v>
      </c>
      <c r="O18" s="59">
        <f t="shared" si="1"/>
        <v>730</v>
      </c>
      <c r="P18" s="97">
        <v>51697.5861111111</v>
      </c>
      <c r="Q18" s="97">
        <f t="shared" si="3"/>
        <v>51697.5861111111</v>
      </c>
      <c r="R18" s="59"/>
      <c r="S18" s="123"/>
    </row>
    <row r="19" s="30" customFormat="1" ht="61" customHeight="1" spans="1:19">
      <c r="A19" s="44"/>
      <c r="B19" s="50"/>
      <c r="C19" s="46"/>
      <c r="D19" s="53"/>
      <c r="E19" s="54">
        <v>310</v>
      </c>
      <c r="F19" s="54">
        <v>310</v>
      </c>
      <c r="G19" s="54">
        <f t="shared" si="2"/>
        <v>310</v>
      </c>
      <c r="H19" s="49">
        <v>44193</v>
      </c>
      <c r="I19" s="62">
        <v>45710</v>
      </c>
      <c r="J19" s="49">
        <v>45428</v>
      </c>
      <c r="K19" s="92" t="s">
        <v>83</v>
      </c>
      <c r="L19" s="93">
        <v>0.0385</v>
      </c>
      <c r="M19" s="92">
        <v>0.5</v>
      </c>
      <c r="N19" s="59">
        <v>720</v>
      </c>
      <c r="O19" s="59">
        <f t="shared" si="1"/>
        <v>730</v>
      </c>
      <c r="P19" s="97">
        <v>12.1007638888889</v>
      </c>
      <c r="Q19" s="97">
        <f t="shared" si="3"/>
        <v>12.1007638888889</v>
      </c>
      <c r="R19" s="59"/>
      <c r="S19" s="123"/>
    </row>
    <row r="20" s="30" customFormat="1" ht="60" customHeight="1" spans="1:19">
      <c r="A20" s="44"/>
      <c r="B20" s="50"/>
      <c r="C20" s="46" t="s">
        <v>84</v>
      </c>
      <c r="D20" s="54">
        <v>3000000</v>
      </c>
      <c r="E20" s="54">
        <v>3000000</v>
      </c>
      <c r="F20" s="54">
        <v>3000000</v>
      </c>
      <c r="G20" s="55">
        <f t="shared" si="2"/>
        <v>3000000</v>
      </c>
      <c r="H20" s="49">
        <v>45196</v>
      </c>
      <c r="I20" s="62">
        <v>45562</v>
      </c>
      <c r="J20" s="49">
        <v>45562</v>
      </c>
      <c r="K20" s="92" t="s">
        <v>85</v>
      </c>
      <c r="L20" s="93">
        <v>0.0345</v>
      </c>
      <c r="M20" s="92">
        <v>0.5</v>
      </c>
      <c r="N20" s="59">
        <f t="shared" ref="N20:N27" si="4">J20-H20</f>
        <v>366</v>
      </c>
      <c r="O20" s="98">
        <f>J20-H20</f>
        <v>366</v>
      </c>
      <c r="P20" s="97">
        <f>F20*L20*M20*N20/360</f>
        <v>52612.5</v>
      </c>
      <c r="Q20" s="124">
        <f t="shared" si="3"/>
        <v>52612.5</v>
      </c>
      <c r="R20" s="59"/>
      <c r="S20" s="123"/>
    </row>
    <row r="21" s="30" customFormat="1" ht="60" customHeight="1" spans="1:19">
      <c r="A21" s="44"/>
      <c r="B21" s="50"/>
      <c r="C21" s="46"/>
      <c r="D21" s="54">
        <v>3000000</v>
      </c>
      <c r="E21" s="54">
        <v>3000000</v>
      </c>
      <c r="F21" s="54">
        <v>3000000</v>
      </c>
      <c r="G21" s="55">
        <v>3000000</v>
      </c>
      <c r="H21" s="49">
        <v>45215</v>
      </c>
      <c r="I21" s="62">
        <v>45581</v>
      </c>
      <c r="J21" s="49">
        <v>45573</v>
      </c>
      <c r="K21" s="92" t="s">
        <v>86</v>
      </c>
      <c r="L21" s="93">
        <v>0.0345</v>
      </c>
      <c r="M21" s="92">
        <v>0.5</v>
      </c>
      <c r="N21" s="59">
        <f t="shared" si="4"/>
        <v>358</v>
      </c>
      <c r="O21" s="98">
        <f t="shared" ref="O21:O27" si="5">J21-H21</f>
        <v>358</v>
      </c>
      <c r="P21" s="97">
        <f>F21*L21*M21*N21/360</f>
        <v>51462.5</v>
      </c>
      <c r="Q21" s="124">
        <f t="shared" ref="Q21:Q23" si="6">G21*L21*M21*O21/360</f>
        <v>51462.5</v>
      </c>
      <c r="R21" s="59"/>
      <c r="S21" s="123"/>
    </row>
    <row r="22" s="30" customFormat="1" ht="59" customHeight="1" spans="1:19">
      <c r="A22" s="44"/>
      <c r="B22" s="50"/>
      <c r="C22" s="46"/>
      <c r="D22" s="54">
        <v>4000000</v>
      </c>
      <c r="E22" s="54">
        <v>4000000</v>
      </c>
      <c r="F22" s="54">
        <v>4000000</v>
      </c>
      <c r="G22" s="55">
        <v>4000000</v>
      </c>
      <c r="H22" s="49">
        <v>45218</v>
      </c>
      <c r="I22" s="62">
        <v>45584</v>
      </c>
      <c r="J22" s="49">
        <v>45582</v>
      </c>
      <c r="K22" s="92" t="s">
        <v>87</v>
      </c>
      <c r="L22" s="93">
        <v>0.0345</v>
      </c>
      <c r="M22" s="92">
        <v>0.5</v>
      </c>
      <c r="N22" s="59">
        <f t="shared" si="4"/>
        <v>364</v>
      </c>
      <c r="O22" s="98">
        <f t="shared" si="5"/>
        <v>364</v>
      </c>
      <c r="P22" s="97">
        <f>F22*L22*M22*N22/360</f>
        <v>69766.6666666667</v>
      </c>
      <c r="Q22" s="124">
        <f t="shared" si="6"/>
        <v>69766.6666666667</v>
      </c>
      <c r="R22" s="59"/>
      <c r="S22" s="123"/>
    </row>
    <row r="23" s="30" customFormat="1" ht="18.75" customHeight="1" spans="1:19">
      <c r="A23" s="44"/>
      <c r="B23" s="50"/>
      <c r="C23" s="46"/>
      <c r="D23" s="47">
        <v>21000000</v>
      </c>
      <c r="E23" s="54">
        <v>10000000</v>
      </c>
      <c r="F23" s="54">
        <v>10000000</v>
      </c>
      <c r="G23" s="55">
        <v>10000000</v>
      </c>
      <c r="H23" s="49">
        <v>45191</v>
      </c>
      <c r="I23" s="62">
        <v>45551</v>
      </c>
      <c r="J23" s="49">
        <v>45548</v>
      </c>
      <c r="K23" s="92">
        <v>0.036</v>
      </c>
      <c r="L23" s="93">
        <v>0.0345</v>
      </c>
      <c r="M23" s="92">
        <v>0.5</v>
      </c>
      <c r="N23" s="59">
        <f t="shared" si="4"/>
        <v>357</v>
      </c>
      <c r="O23" s="98">
        <f t="shared" si="5"/>
        <v>357</v>
      </c>
      <c r="P23" s="97">
        <v>172500</v>
      </c>
      <c r="Q23" s="124">
        <f t="shared" si="6"/>
        <v>171062.5</v>
      </c>
      <c r="R23" s="59"/>
      <c r="S23" s="123"/>
    </row>
    <row r="24" s="30" customFormat="1" ht="18.75" customHeight="1" spans="1:19">
      <c r="A24" s="44"/>
      <c r="B24" s="50"/>
      <c r="C24" s="46"/>
      <c r="D24" s="51"/>
      <c r="E24" s="54">
        <v>5000000</v>
      </c>
      <c r="F24" s="54">
        <v>5000000</v>
      </c>
      <c r="G24" s="55">
        <v>5000000</v>
      </c>
      <c r="H24" s="49">
        <v>45210</v>
      </c>
      <c r="I24" s="62">
        <v>45559</v>
      </c>
      <c r="J24" s="49">
        <v>45561</v>
      </c>
      <c r="K24" s="92">
        <v>0.036</v>
      </c>
      <c r="L24" s="93">
        <v>0.0345</v>
      </c>
      <c r="M24" s="92">
        <v>0.5</v>
      </c>
      <c r="N24" s="59">
        <f t="shared" si="4"/>
        <v>351</v>
      </c>
      <c r="O24" s="98">
        <f t="shared" si="5"/>
        <v>351</v>
      </c>
      <c r="P24" s="97">
        <v>86250</v>
      </c>
      <c r="Q24" s="124">
        <f t="shared" ref="Q24:Q27" si="7">G24*L24*M24*O24/360</f>
        <v>84093.75</v>
      </c>
      <c r="R24" s="59"/>
      <c r="S24" s="123"/>
    </row>
    <row r="25" s="30" customFormat="1" ht="18.75" customHeight="1" spans="1:19">
      <c r="A25" s="44"/>
      <c r="B25" s="50"/>
      <c r="C25" s="46"/>
      <c r="D25" s="53"/>
      <c r="E25" s="54">
        <v>6000000</v>
      </c>
      <c r="F25" s="54">
        <v>6000000</v>
      </c>
      <c r="G25" s="55">
        <f>F25</f>
        <v>6000000</v>
      </c>
      <c r="H25" s="49">
        <v>45229</v>
      </c>
      <c r="I25" s="62">
        <v>45586</v>
      </c>
      <c r="J25" s="49">
        <v>45583</v>
      </c>
      <c r="K25" s="92">
        <v>0.036</v>
      </c>
      <c r="L25" s="93">
        <v>0.0345</v>
      </c>
      <c r="M25" s="92">
        <v>0.5</v>
      </c>
      <c r="N25" s="59">
        <f t="shared" si="4"/>
        <v>354</v>
      </c>
      <c r="O25" s="98">
        <f t="shared" si="5"/>
        <v>354</v>
      </c>
      <c r="P25" s="97">
        <v>103500</v>
      </c>
      <c r="Q25" s="124">
        <f t="shared" si="7"/>
        <v>101775</v>
      </c>
      <c r="R25" s="59"/>
      <c r="S25" s="123"/>
    </row>
    <row r="26" s="30" customFormat="1" ht="18.75" customHeight="1" spans="1:19">
      <c r="A26" s="44"/>
      <c r="B26" s="50"/>
      <c r="C26" s="46" t="s">
        <v>88</v>
      </c>
      <c r="D26" s="47">
        <v>5900000</v>
      </c>
      <c r="E26" s="54">
        <v>3912933.85</v>
      </c>
      <c r="F26" s="54">
        <v>3912933.85</v>
      </c>
      <c r="G26" s="55">
        <f>F26</f>
        <v>3912933.85</v>
      </c>
      <c r="H26" s="49">
        <v>45107</v>
      </c>
      <c r="I26" s="62">
        <v>45473</v>
      </c>
      <c r="J26" s="49">
        <v>45473</v>
      </c>
      <c r="K26" s="92">
        <v>0.05</v>
      </c>
      <c r="L26" s="93">
        <v>0.0355</v>
      </c>
      <c r="M26" s="92">
        <v>0.5</v>
      </c>
      <c r="N26" s="59">
        <f t="shared" si="4"/>
        <v>366</v>
      </c>
      <c r="O26" s="98">
        <f t="shared" si="5"/>
        <v>366</v>
      </c>
      <c r="P26" s="97">
        <f>F26*L26*M26*N26/360</f>
        <v>70612.1521014583</v>
      </c>
      <c r="Q26" s="124">
        <f t="shared" si="7"/>
        <v>70612.1521014583</v>
      </c>
      <c r="R26" s="59"/>
      <c r="S26" s="123"/>
    </row>
    <row r="27" s="30" customFormat="1" ht="15.75" customHeight="1" spans="1:19">
      <c r="A27" s="44"/>
      <c r="B27" s="56"/>
      <c r="C27" s="46"/>
      <c r="D27" s="53"/>
      <c r="E27" s="54">
        <v>1987066.15</v>
      </c>
      <c r="F27" s="54">
        <v>1987066.15</v>
      </c>
      <c r="G27" s="55">
        <v>1987066.15</v>
      </c>
      <c r="H27" s="49">
        <v>45117</v>
      </c>
      <c r="I27" s="62">
        <v>45483</v>
      </c>
      <c r="J27" s="49">
        <v>45483</v>
      </c>
      <c r="K27" s="92">
        <v>0.05</v>
      </c>
      <c r="L27" s="93">
        <v>0.0355</v>
      </c>
      <c r="M27" s="92">
        <v>0.5</v>
      </c>
      <c r="N27" s="59">
        <f t="shared" si="4"/>
        <v>366</v>
      </c>
      <c r="O27" s="98">
        <f t="shared" si="5"/>
        <v>366</v>
      </c>
      <c r="P27" s="97">
        <f>F27*L27*M27*N27/360</f>
        <v>35858.2645652083</v>
      </c>
      <c r="Q27" s="124">
        <f t="shared" si="7"/>
        <v>35858.2645652083</v>
      </c>
      <c r="R27" s="59"/>
      <c r="S27" s="123"/>
    </row>
    <row r="28" s="31" customFormat="1" ht="15" customHeight="1" spans="1:19">
      <c r="A28" s="44"/>
      <c r="B28" s="57"/>
      <c r="C28" s="57"/>
      <c r="D28" s="58">
        <f>SUM(D4:D27)</f>
        <v>66400000</v>
      </c>
      <c r="E28" s="58">
        <f>SUM(E4:E27)</f>
        <v>66400000</v>
      </c>
      <c r="F28" s="58">
        <f>SUM(F4:F27)</f>
        <v>66400000</v>
      </c>
      <c r="G28" s="58">
        <f>SUM(G4:G27)</f>
        <v>66400000</v>
      </c>
      <c r="H28" s="58"/>
      <c r="I28" s="58"/>
      <c r="J28" s="58"/>
      <c r="K28" s="58"/>
      <c r="L28" s="58"/>
      <c r="M28" s="58"/>
      <c r="N28" s="58"/>
      <c r="O28" s="58"/>
      <c r="P28" s="58">
        <f>SUM(P4:P27)</f>
        <v>1753688.11777778</v>
      </c>
      <c r="Q28" s="58">
        <f>SUM(Q4:Q27)</f>
        <v>1748369.365</v>
      </c>
      <c r="R28" s="125"/>
      <c r="S28" s="126"/>
    </row>
    <row r="29" s="30" customFormat="1" ht="37.5" customHeight="1" spans="1:18">
      <c r="A29" s="59">
        <v>2</v>
      </c>
      <c r="B29" s="46" t="s">
        <v>89</v>
      </c>
      <c r="C29" s="45" t="s">
        <v>90</v>
      </c>
      <c r="D29" s="47">
        <v>8000000</v>
      </c>
      <c r="E29" s="47">
        <v>8000000</v>
      </c>
      <c r="F29" s="47">
        <v>12366460.8</v>
      </c>
      <c r="G29" s="60">
        <v>3000000</v>
      </c>
      <c r="H29" s="49">
        <v>45107</v>
      </c>
      <c r="I29" s="62">
        <v>45473</v>
      </c>
      <c r="J29" s="49">
        <v>45381</v>
      </c>
      <c r="K29" s="92">
        <v>0.053</v>
      </c>
      <c r="L29" s="93">
        <v>0.0355</v>
      </c>
      <c r="M29" s="92">
        <v>0.5</v>
      </c>
      <c r="N29" s="59">
        <f>J29-H29</f>
        <v>274</v>
      </c>
      <c r="O29" s="59">
        <f>N29</f>
        <v>274</v>
      </c>
      <c r="P29" s="99">
        <v>128687.5</v>
      </c>
      <c r="Q29" s="127">
        <f>G29*L29*M29*O29/360</f>
        <v>40529.1666666667</v>
      </c>
      <c r="R29" s="59"/>
    </row>
    <row r="30" s="30" customFormat="1" ht="37.5" customHeight="1" spans="1:18">
      <c r="A30" s="59"/>
      <c r="B30" s="46"/>
      <c r="C30" s="56"/>
      <c r="D30" s="53"/>
      <c r="E30" s="53"/>
      <c r="F30" s="53"/>
      <c r="G30" s="60">
        <v>5000000</v>
      </c>
      <c r="H30" s="49">
        <v>45107</v>
      </c>
      <c r="I30" s="62">
        <v>45473</v>
      </c>
      <c r="J30" s="49">
        <v>45463</v>
      </c>
      <c r="K30" s="92">
        <v>0.053</v>
      </c>
      <c r="L30" s="93">
        <v>0.0355</v>
      </c>
      <c r="M30" s="92">
        <v>0.5</v>
      </c>
      <c r="N30" s="59">
        <f>J30-H30</f>
        <v>356</v>
      </c>
      <c r="O30" s="59">
        <f>N30</f>
        <v>356</v>
      </c>
      <c r="P30" s="100"/>
      <c r="Q30" s="127">
        <f>G30*L30*M30*O30/360</f>
        <v>87763.8888888889</v>
      </c>
      <c r="R30" s="59"/>
    </row>
    <row r="31" s="30" customFormat="1" ht="37.5" customHeight="1" spans="1:19">
      <c r="A31" s="59"/>
      <c r="B31" s="46"/>
      <c r="C31" s="46" t="s">
        <v>91</v>
      </c>
      <c r="D31" s="61">
        <v>2400000</v>
      </c>
      <c r="E31" s="61">
        <v>2400000</v>
      </c>
      <c r="F31" s="60">
        <v>3500002</v>
      </c>
      <c r="G31" s="60">
        <v>1600000</v>
      </c>
      <c r="H31" s="62">
        <v>45197</v>
      </c>
      <c r="I31" s="62">
        <v>45562</v>
      </c>
      <c r="J31" s="49">
        <v>45378</v>
      </c>
      <c r="K31" s="92">
        <v>0.0493</v>
      </c>
      <c r="L31" s="93">
        <v>0.0345</v>
      </c>
      <c r="M31" s="92">
        <v>0.5</v>
      </c>
      <c r="N31" s="59">
        <f>J31-H31</f>
        <v>181</v>
      </c>
      <c r="O31" s="59">
        <f>N31</f>
        <v>181</v>
      </c>
      <c r="P31" s="101">
        <v>42090</v>
      </c>
      <c r="Q31" s="127">
        <f>G31*L31*M31*O31/360</f>
        <v>13876.6666666667</v>
      </c>
      <c r="R31" s="59"/>
      <c r="S31" s="123"/>
    </row>
    <row r="32" s="31" customFormat="1" ht="18.75" customHeight="1" spans="1:19">
      <c r="A32" s="59"/>
      <c r="B32" s="63" t="s">
        <v>92</v>
      </c>
      <c r="C32" s="64"/>
      <c r="D32" s="58">
        <f>SUM(D29:D31)</f>
        <v>10400000</v>
      </c>
      <c r="E32" s="58">
        <f t="shared" ref="E32:Q32" si="8">SUM(E29:E31)</f>
        <v>10400000</v>
      </c>
      <c r="F32" s="58">
        <f t="shared" si="8"/>
        <v>15866462.8</v>
      </c>
      <c r="G32" s="58">
        <f t="shared" si="8"/>
        <v>9600000</v>
      </c>
      <c r="H32" s="58"/>
      <c r="I32" s="58"/>
      <c r="J32" s="58"/>
      <c r="K32" s="58"/>
      <c r="L32" s="58"/>
      <c r="M32" s="58"/>
      <c r="N32" s="58"/>
      <c r="O32" s="58"/>
      <c r="P32" s="58">
        <f>SUM(P29:P31)</f>
        <v>170777.5</v>
      </c>
      <c r="Q32" s="58">
        <f t="shared" si="8"/>
        <v>142169.722222222</v>
      </c>
      <c r="R32" s="125"/>
      <c r="S32" s="126"/>
    </row>
    <row r="33" s="32" customFormat="1" ht="18.75" customHeight="1" spans="1:19">
      <c r="A33" s="65" t="s">
        <v>93</v>
      </c>
      <c r="B33" s="66" t="s">
        <v>94</v>
      </c>
      <c r="C33" s="66" t="s">
        <v>95</v>
      </c>
      <c r="D33" s="67">
        <v>50000000</v>
      </c>
      <c r="E33" s="68">
        <v>17900000</v>
      </c>
      <c r="F33" s="69">
        <v>12148712.93</v>
      </c>
      <c r="G33" s="47">
        <v>0</v>
      </c>
      <c r="H33" s="70">
        <v>42711</v>
      </c>
      <c r="I33" s="102">
        <v>45483</v>
      </c>
      <c r="J33" s="102"/>
      <c r="K33" s="103">
        <v>0.069</v>
      </c>
      <c r="L33" s="103">
        <v>0.049</v>
      </c>
      <c r="M33" s="104">
        <v>0.5</v>
      </c>
      <c r="N33" s="105"/>
      <c r="O33" s="106"/>
      <c r="P33" s="107" t="s">
        <v>96</v>
      </c>
      <c r="Q33" s="47">
        <f>G33*L33*M33*O33/360</f>
        <v>0</v>
      </c>
      <c r="R33" s="59" t="s">
        <v>97</v>
      </c>
      <c r="S33" s="123"/>
    </row>
    <row r="34" s="32" customFormat="1" ht="18.75" customHeight="1" spans="1:19">
      <c r="A34" s="65"/>
      <c r="B34" s="71"/>
      <c r="C34" s="71"/>
      <c r="D34" s="72"/>
      <c r="E34" s="68">
        <v>25100000</v>
      </c>
      <c r="F34" s="73"/>
      <c r="G34" s="51"/>
      <c r="H34" s="70">
        <v>42716</v>
      </c>
      <c r="I34" s="102">
        <v>45483</v>
      </c>
      <c r="J34" s="102"/>
      <c r="K34" s="103">
        <v>0.069</v>
      </c>
      <c r="L34" s="103">
        <v>0.049</v>
      </c>
      <c r="M34" s="104">
        <v>0.5</v>
      </c>
      <c r="N34" s="105"/>
      <c r="O34" s="106"/>
      <c r="P34" s="108"/>
      <c r="Q34" s="47">
        <f>G34*L34*M34*O34/360</f>
        <v>0</v>
      </c>
      <c r="R34" s="59" t="s">
        <v>97</v>
      </c>
      <c r="S34" s="123"/>
    </row>
    <row r="35" s="32" customFormat="1" ht="18.75" customHeight="1" spans="1:19">
      <c r="A35" s="65"/>
      <c r="B35" s="71"/>
      <c r="C35" s="71"/>
      <c r="D35" s="72"/>
      <c r="E35" s="68">
        <v>1500000</v>
      </c>
      <c r="F35" s="73"/>
      <c r="G35" s="51"/>
      <c r="H35" s="70">
        <v>43031</v>
      </c>
      <c r="I35" s="102">
        <v>45483</v>
      </c>
      <c r="J35" s="102"/>
      <c r="K35" s="103">
        <v>0.069</v>
      </c>
      <c r="L35" s="103">
        <v>0.049</v>
      </c>
      <c r="M35" s="104">
        <v>0.5</v>
      </c>
      <c r="N35" s="105"/>
      <c r="O35" s="106"/>
      <c r="P35" s="108"/>
      <c r="Q35" s="54">
        <f t="shared" ref="Q35:Q37" si="9">G35*L35*M35*O35/360</f>
        <v>0</v>
      </c>
      <c r="R35" s="59" t="s">
        <v>97</v>
      </c>
      <c r="S35" s="123"/>
    </row>
    <row r="36" s="32" customFormat="1" ht="18.75" customHeight="1" spans="1:19">
      <c r="A36" s="65"/>
      <c r="B36" s="71"/>
      <c r="C36" s="71"/>
      <c r="D36" s="72"/>
      <c r="E36" s="68">
        <v>2000000</v>
      </c>
      <c r="F36" s="73"/>
      <c r="G36" s="51"/>
      <c r="H36" s="70">
        <v>43019</v>
      </c>
      <c r="I36" s="102">
        <v>45483</v>
      </c>
      <c r="J36" s="102"/>
      <c r="K36" s="103">
        <v>0.069</v>
      </c>
      <c r="L36" s="103">
        <v>0.049</v>
      </c>
      <c r="M36" s="104">
        <v>0.5</v>
      </c>
      <c r="N36" s="105"/>
      <c r="O36" s="106"/>
      <c r="P36" s="108"/>
      <c r="Q36" s="54">
        <f t="shared" si="9"/>
        <v>0</v>
      </c>
      <c r="R36" s="59" t="s">
        <v>97</v>
      </c>
      <c r="S36" s="123"/>
    </row>
    <row r="37" s="32" customFormat="1" ht="18.75" customHeight="1" spans="1:19">
      <c r="A37" s="65"/>
      <c r="B37" s="71"/>
      <c r="C37" s="71"/>
      <c r="D37" s="72"/>
      <c r="E37" s="68">
        <v>3500000</v>
      </c>
      <c r="F37" s="74"/>
      <c r="G37" s="53"/>
      <c r="H37" s="70">
        <v>43025</v>
      </c>
      <c r="I37" s="102">
        <v>45483</v>
      </c>
      <c r="J37" s="102"/>
      <c r="K37" s="103">
        <v>0.069</v>
      </c>
      <c r="L37" s="103">
        <v>0.049</v>
      </c>
      <c r="M37" s="104">
        <v>0.5</v>
      </c>
      <c r="N37" s="105"/>
      <c r="O37" s="106"/>
      <c r="P37" s="109"/>
      <c r="Q37" s="54">
        <f t="shared" si="9"/>
        <v>0</v>
      </c>
      <c r="R37" s="59" t="s">
        <v>97</v>
      </c>
      <c r="S37" s="123"/>
    </row>
    <row r="38" s="31" customFormat="1" ht="18.75" customHeight="1" spans="1:18">
      <c r="A38" s="65"/>
      <c r="B38" s="75" t="s">
        <v>92</v>
      </c>
      <c r="C38" s="76"/>
      <c r="D38" s="77">
        <f>SUM(D33:D37)</f>
        <v>50000000</v>
      </c>
      <c r="E38" s="77">
        <f>SUM(E33:E37)</f>
        <v>50000000</v>
      </c>
      <c r="F38" s="77">
        <f>SUM(F33:F37)</f>
        <v>12148712.93</v>
      </c>
      <c r="G38" s="77">
        <f>SUM(G33:G37)</f>
        <v>0</v>
      </c>
      <c r="H38" s="78"/>
      <c r="I38" s="110"/>
      <c r="J38" s="78"/>
      <c r="K38" s="111"/>
      <c r="L38" s="112"/>
      <c r="M38" s="111"/>
      <c r="N38" s="113"/>
      <c r="O38" s="113"/>
      <c r="P38" s="77">
        <f>SUM(P33:P37)</f>
        <v>0</v>
      </c>
      <c r="Q38" s="77">
        <f>SUM(Q33:Q37)</f>
        <v>0</v>
      </c>
      <c r="R38" s="77"/>
    </row>
    <row r="39" s="30" customFormat="1" ht="18.75" customHeight="1" spans="1:18">
      <c r="A39" s="59">
        <v>4</v>
      </c>
      <c r="B39" s="66" t="s">
        <v>98</v>
      </c>
      <c r="C39" s="66" t="s">
        <v>99</v>
      </c>
      <c r="D39" s="79">
        <v>10000000</v>
      </c>
      <c r="E39" s="79">
        <v>3000000</v>
      </c>
      <c r="F39" s="79">
        <v>3000000</v>
      </c>
      <c r="G39" s="79">
        <v>3000000</v>
      </c>
      <c r="H39" s="62">
        <v>45188</v>
      </c>
      <c r="I39" s="62">
        <v>45554</v>
      </c>
      <c r="J39" s="49">
        <v>45461</v>
      </c>
      <c r="K39" s="92">
        <v>0.04</v>
      </c>
      <c r="L39" s="92">
        <v>0.0345</v>
      </c>
      <c r="M39" s="114">
        <v>0.5</v>
      </c>
      <c r="N39" s="46">
        <f>J39-H39</f>
        <v>273</v>
      </c>
      <c r="O39" s="115">
        <f>J39-H39</f>
        <v>273</v>
      </c>
      <c r="P39" s="116">
        <f>F39*L39*M39*O39/360</f>
        <v>39243.75</v>
      </c>
      <c r="Q39" s="128">
        <f>G39*L39*M39*O39/360</f>
        <v>39243.75</v>
      </c>
      <c r="R39" s="59"/>
    </row>
    <row r="40" s="30" customFormat="1" ht="18.75" customHeight="1" spans="1:18">
      <c r="A40" s="59"/>
      <c r="B40" s="71"/>
      <c r="C40" s="71"/>
      <c r="D40" s="79"/>
      <c r="E40" s="79">
        <v>7000000</v>
      </c>
      <c r="F40" s="79">
        <v>7000000</v>
      </c>
      <c r="G40" s="79">
        <v>7000000</v>
      </c>
      <c r="H40" s="62">
        <v>45188</v>
      </c>
      <c r="I40" s="62">
        <v>45554</v>
      </c>
      <c r="J40" s="49">
        <v>45474</v>
      </c>
      <c r="K40" s="92">
        <v>0.04</v>
      </c>
      <c r="L40" s="92">
        <v>0.0345</v>
      </c>
      <c r="M40" s="114">
        <v>0.5</v>
      </c>
      <c r="N40" s="46">
        <f>J40-H40</f>
        <v>286</v>
      </c>
      <c r="O40" s="115">
        <f>N40</f>
        <v>286</v>
      </c>
      <c r="P40" s="116">
        <f>F40*L40*M40*O40/360</f>
        <v>95929.1666666667</v>
      </c>
      <c r="Q40" s="128">
        <f t="shared" ref="Q40" si="10">G40*L40*M40*O40/360</f>
        <v>95929.1666666667</v>
      </c>
      <c r="R40" s="59"/>
    </row>
    <row r="41" s="31" customFormat="1" ht="18.75" customHeight="1" spans="1:18">
      <c r="A41" s="59"/>
      <c r="B41" s="80" t="s">
        <v>92</v>
      </c>
      <c r="C41" s="81"/>
      <c r="D41" s="82">
        <f>SUM(D39:D40)</f>
        <v>10000000</v>
      </c>
      <c r="E41" s="82">
        <f>SUM(E39:E40)</f>
        <v>10000000</v>
      </c>
      <c r="F41" s="82">
        <f>SUM(F39:F40)</f>
        <v>10000000</v>
      </c>
      <c r="G41" s="82">
        <f>SUM(G39:G40)</f>
        <v>10000000</v>
      </c>
      <c r="H41" s="82"/>
      <c r="I41" s="82"/>
      <c r="J41" s="82"/>
      <c r="K41" s="82"/>
      <c r="L41" s="82"/>
      <c r="M41" s="82"/>
      <c r="N41" s="82"/>
      <c r="O41" s="82"/>
      <c r="P41" s="117">
        <f>SUM(P39:P40)</f>
        <v>135172.916666667</v>
      </c>
      <c r="Q41" s="129">
        <f>SUM(Q39:Q40)</f>
        <v>135172.916666667</v>
      </c>
      <c r="R41" s="77"/>
    </row>
    <row r="42" s="31" customFormat="1" ht="17.25" customHeight="1" spans="1:18">
      <c r="A42" s="66">
        <v>5</v>
      </c>
      <c r="B42" s="83" t="s">
        <v>100</v>
      </c>
      <c r="C42" s="83" t="s">
        <v>77</v>
      </c>
      <c r="D42" s="84">
        <v>30000000</v>
      </c>
      <c r="E42" s="24">
        <v>1820000</v>
      </c>
      <c r="F42" s="6">
        <v>1000000</v>
      </c>
      <c r="G42" s="7">
        <f>E42-783575.97-G43</f>
        <v>216424.03</v>
      </c>
      <c r="H42" s="8">
        <v>44799</v>
      </c>
      <c r="I42" s="118">
        <v>45394</v>
      </c>
      <c r="J42" s="9" t="s">
        <v>101</v>
      </c>
      <c r="K42" s="10">
        <v>0.0465</v>
      </c>
      <c r="L42" s="10">
        <v>0.0365</v>
      </c>
      <c r="M42" s="26">
        <v>0.5</v>
      </c>
      <c r="N42" s="119">
        <f>J42-H42</f>
        <v>60</v>
      </c>
      <c r="O42" s="119">
        <f>J42-H42</f>
        <v>60</v>
      </c>
      <c r="P42" s="120">
        <v>5535.83333333333</v>
      </c>
      <c r="Q42" s="130">
        <f>G42*L42*M42*O42/360</f>
        <v>658.289757916667</v>
      </c>
      <c r="R42" s="131"/>
    </row>
    <row r="43" s="31" customFormat="1" ht="17.25" customHeight="1" spans="1:18">
      <c r="A43" s="71"/>
      <c r="B43" s="85"/>
      <c r="C43" s="85"/>
      <c r="D43" s="86"/>
      <c r="E43" s="87"/>
      <c r="F43" s="6">
        <v>820000</v>
      </c>
      <c r="G43" s="7">
        <v>820000</v>
      </c>
      <c r="H43" s="8" t="str">
        <f>J42</f>
        <v>2022/10/25</v>
      </c>
      <c r="I43" s="121"/>
      <c r="J43" s="9">
        <v>45041</v>
      </c>
      <c r="K43" s="10">
        <v>0.0465</v>
      </c>
      <c r="L43" s="10">
        <v>0.0365</v>
      </c>
      <c r="M43" s="26">
        <v>0.5</v>
      </c>
      <c r="N43" s="119">
        <f t="shared" ref="N43:N69" si="11">J43-H43</f>
        <v>182</v>
      </c>
      <c r="O43" s="119">
        <f t="shared" ref="O43:O69" si="12">J43-H43</f>
        <v>182</v>
      </c>
      <c r="P43" s="120">
        <v>7565.63888888889</v>
      </c>
      <c r="Q43" s="130">
        <f t="shared" ref="Q43:Q69" si="13">G43*L43*M43*O43/360</f>
        <v>7565.63888888889</v>
      </c>
      <c r="R43" s="131"/>
    </row>
    <row r="44" s="31" customFormat="1" ht="17.25" customHeight="1" spans="1:18">
      <c r="A44" s="71"/>
      <c r="B44" s="85"/>
      <c r="C44" s="85"/>
      <c r="D44" s="86"/>
      <c r="E44" s="15">
        <v>670000</v>
      </c>
      <c r="F44" s="6">
        <v>670000</v>
      </c>
      <c r="G44" s="13">
        <f>F44-344578</f>
        <v>325422</v>
      </c>
      <c r="H44" s="8">
        <v>44819</v>
      </c>
      <c r="I44" s="121"/>
      <c r="J44" s="9" t="s">
        <v>102</v>
      </c>
      <c r="K44" s="10">
        <v>0.0465</v>
      </c>
      <c r="L44" s="10">
        <v>0.0365</v>
      </c>
      <c r="M44" s="26">
        <v>0.5</v>
      </c>
      <c r="N44" s="119">
        <f t="shared" si="11"/>
        <v>222</v>
      </c>
      <c r="O44" s="119">
        <f t="shared" si="12"/>
        <v>222</v>
      </c>
      <c r="P44" s="120">
        <v>7540.29166666667</v>
      </c>
      <c r="Q44" s="130">
        <f t="shared" si="13"/>
        <v>3662.353425</v>
      </c>
      <c r="R44" s="131"/>
    </row>
    <row r="45" s="31" customFormat="1" ht="17.25" customHeight="1" spans="1:18">
      <c r="A45" s="71"/>
      <c r="B45" s="85"/>
      <c r="C45" s="85"/>
      <c r="D45" s="86"/>
      <c r="E45" s="15">
        <v>378000</v>
      </c>
      <c r="F45" s="14">
        <v>378000</v>
      </c>
      <c r="G45" s="13">
        <f>E45-377000</f>
        <v>1000</v>
      </c>
      <c r="H45" s="8">
        <v>44833</v>
      </c>
      <c r="I45" s="121"/>
      <c r="J45" s="9">
        <v>45041</v>
      </c>
      <c r="K45" s="10">
        <v>0.0465</v>
      </c>
      <c r="L45" s="10">
        <v>0.0365</v>
      </c>
      <c r="M45" s="26">
        <v>0.5</v>
      </c>
      <c r="N45" s="119">
        <f t="shared" si="11"/>
        <v>208</v>
      </c>
      <c r="O45" s="119">
        <f t="shared" si="12"/>
        <v>208</v>
      </c>
      <c r="P45" s="120">
        <v>3985.8</v>
      </c>
      <c r="Q45" s="130">
        <f t="shared" si="13"/>
        <v>10.5444444444444</v>
      </c>
      <c r="R45" s="131"/>
    </row>
    <row r="46" s="31" customFormat="1" ht="17.25" customHeight="1" spans="1:18">
      <c r="A46" s="71"/>
      <c r="B46" s="85"/>
      <c r="C46" s="85"/>
      <c r="D46" s="86"/>
      <c r="E46" s="24">
        <v>1241300</v>
      </c>
      <c r="F46" s="14">
        <v>132000</v>
      </c>
      <c r="G46" s="15">
        <v>0</v>
      </c>
      <c r="H46" s="8">
        <v>44844</v>
      </c>
      <c r="I46" s="121"/>
      <c r="J46" s="9" t="s">
        <v>102</v>
      </c>
      <c r="K46" s="10">
        <v>0.0465</v>
      </c>
      <c r="L46" s="10">
        <v>0.0365</v>
      </c>
      <c r="M46" s="26">
        <v>0.5</v>
      </c>
      <c r="N46" s="119">
        <f t="shared" si="11"/>
        <v>197</v>
      </c>
      <c r="O46" s="119">
        <f t="shared" si="12"/>
        <v>197</v>
      </c>
      <c r="P46" s="120">
        <v>12396.6217361111</v>
      </c>
      <c r="Q46" s="130">
        <f t="shared" si="13"/>
        <v>0</v>
      </c>
      <c r="R46" s="131"/>
    </row>
    <row r="47" s="31" customFormat="1" ht="17.25" customHeight="1" spans="1:18">
      <c r="A47" s="71"/>
      <c r="B47" s="85"/>
      <c r="C47" s="85"/>
      <c r="D47" s="86"/>
      <c r="E47" s="88"/>
      <c r="F47" s="14">
        <v>1109300</v>
      </c>
      <c r="G47" s="15">
        <f>E46-934573.11</f>
        <v>306726.89</v>
      </c>
      <c r="H47" s="8" t="str">
        <f>J46</f>
        <v>2023/04/25</v>
      </c>
      <c r="I47" s="121"/>
      <c r="J47" s="9">
        <v>45224</v>
      </c>
      <c r="K47" s="10">
        <v>0.0465</v>
      </c>
      <c r="L47" s="10">
        <v>0.0365</v>
      </c>
      <c r="M47" s="26">
        <v>0.5</v>
      </c>
      <c r="N47" s="119">
        <f t="shared" si="11"/>
        <v>183</v>
      </c>
      <c r="O47" s="119">
        <f t="shared" si="12"/>
        <v>183</v>
      </c>
      <c r="P47" s="120">
        <v>10291.0685416667</v>
      </c>
      <c r="Q47" s="130">
        <f t="shared" si="13"/>
        <v>2845.53091910417</v>
      </c>
      <c r="R47" s="131"/>
    </row>
    <row r="48" s="31" customFormat="1" ht="17.25" customHeight="1" spans="1:18">
      <c r="A48" s="71"/>
      <c r="B48" s="85"/>
      <c r="C48" s="85"/>
      <c r="D48" s="86"/>
      <c r="E48" s="15">
        <v>1040000</v>
      </c>
      <c r="F48" s="14">
        <v>1040000</v>
      </c>
      <c r="G48" s="13">
        <f>E48-160230.85</f>
        <v>879769.15</v>
      </c>
      <c r="H48" s="8">
        <v>44848</v>
      </c>
      <c r="I48" s="121"/>
      <c r="J48" s="9">
        <v>45224</v>
      </c>
      <c r="K48" s="10">
        <v>0.0465</v>
      </c>
      <c r="L48" s="10">
        <v>0.0365</v>
      </c>
      <c r="M48" s="26">
        <v>0.5</v>
      </c>
      <c r="N48" s="119">
        <f t="shared" si="11"/>
        <v>376</v>
      </c>
      <c r="O48" s="119">
        <f t="shared" si="12"/>
        <v>376</v>
      </c>
      <c r="P48" s="120">
        <v>19823.5555555556</v>
      </c>
      <c r="Q48" s="130">
        <f t="shared" si="13"/>
        <v>16769.3775202778</v>
      </c>
      <c r="R48" s="131"/>
    </row>
    <row r="49" s="31" customFormat="1" ht="17.25" customHeight="1" spans="1:18">
      <c r="A49" s="71"/>
      <c r="B49" s="85"/>
      <c r="C49" s="85"/>
      <c r="D49" s="86"/>
      <c r="E49" s="15">
        <v>471100</v>
      </c>
      <c r="F49" s="14">
        <v>471100</v>
      </c>
      <c r="G49" s="13">
        <f>E49-444616.4</f>
        <v>26483.6</v>
      </c>
      <c r="H49" s="8">
        <v>44853</v>
      </c>
      <c r="I49" s="121"/>
      <c r="J49" s="9">
        <v>45224</v>
      </c>
      <c r="K49" s="10">
        <v>0.0465</v>
      </c>
      <c r="L49" s="10">
        <v>0.0365</v>
      </c>
      <c r="M49" s="26">
        <v>0.5</v>
      </c>
      <c r="N49" s="119">
        <f t="shared" si="11"/>
        <v>371</v>
      </c>
      <c r="O49" s="119">
        <f t="shared" si="12"/>
        <v>371</v>
      </c>
      <c r="P49" s="120">
        <v>8860.27868055556</v>
      </c>
      <c r="Q49" s="130">
        <f t="shared" si="13"/>
        <v>498.093985277777</v>
      </c>
      <c r="R49" s="131"/>
    </row>
    <row r="50" s="31" customFormat="1" ht="17.25" customHeight="1" spans="1:18">
      <c r="A50" s="71"/>
      <c r="B50" s="85"/>
      <c r="C50" s="85"/>
      <c r="D50" s="86"/>
      <c r="E50" s="15">
        <v>585000</v>
      </c>
      <c r="F50" s="14">
        <v>585000</v>
      </c>
      <c r="G50" s="13">
        <f>E50-416234.4</f>
        <v>168765.6</v>
      </c>
      <c r="H50" s="8">
        <v>44862</v>
      </c>
      <c r="I50" s="121"/>
      <c r="J50" s="9">
        <v>45224</v>
      </c>
      <c r="K50" s="10">
        <v>0.0465</v>
      </c>
      <c r="L50" s="10">
        <v>0.0365</v>
      </c>
      <c r="M50" s="26">
        <v>0.5</v>
      </c>
      <c r="N50" s="119">
        <f t="shared" si="11"/>
        <v>362</v>
      </c>
      <c r="O50" s="119">
        <f t="shared" si="12"/>
        <v>362</v>
      </c>
      <c r="P50" s="120">
        <v>10735.5625</v>
      </c>
      <c r="Q50" s="130">
        <f t="shared" si="13"/>
        <v>3097.08315666667</v>
      </c>
      <c r="R50" s="131"/>
    </row>
    <row r="51" s="31" customFormat="1" ht="17.25" customHeight="1" spans="1:18">
      <c r="A51" s="71"/>
      <c r="B51" s="85"/>
      <c r="C51" s="85"/>
      <c r="D51" s="86"/>
      <c r="E51" s="15">
        <v>1316800</v>
      </c>
      <c r="F51" s="14">
        <v>1316800</v>
      </c>
      <c r="G51" s="13">
        <f>E51-1135720.36</f>
        <v>181079.64</v>
      </c>
      <c r="H51" s="8">
        <v>44875</v>
      </c>
      <c r="I51" s="121"/>
      <c r="J51" s="9">
        <v>45224</v>
      </c>
      <c r="K51" s="10">
        <v>0.0465</v>
      </c>
      <c r="L51" s="10">
        <v>0.0365</v>
      </c>
      <c r="M51" s="26">
        <v>0.5</v>
      </c>
      <c r="N51" s="119">
        <f t="shared" si="11"/>
        <v>349</v>
      </c>
      <c r="O51" s="119">
        <f t="shared" si="12"/>
        <v>349</v>
      </c>
      <c r="P51" s="120">
        <v>23297.3011111111</v>
      </c>
      <c r="Q51" s="130">
        <f t="shared" si="13"/>
        <v>3203.72638075</v>
      </c>
      <c r="R51" s="131"/>
    </row>
    <row r="52" s="31" customFormat="1" ht="17.25" customHeight="1" spans="1:18">
      <c r="A52" s="71"/>
      <c r="B52" s="85"/>
      <c r="C52" s="85"/>
      <c r="D52" s="86"/>
      <c r="E52" s="15">
        <v>334300</v>
      </c>
      <c r="F52" s="14">
        <v>334300</v>
      </c>
      <c r="G52" s="13">
        <f>E52-96460.22</f>
        <v>237839.78</v>
      </c>
      <c r="H52" s="8">
        <v>44882</v>
      </c>
      <c r="I52" s="121"/>
      <c r="J52" s="9">
        <v>45224</v>
      </c>
      <c r="K52" s="10">
        <v>0.0465</v>
      </c>
      <c r="L52" s="10">
        <v>0.0365</v>
      </c>
      <c r="M52" s="26">
        <v>0.5</v>
      </c>
      <c r="N52" s="119">
        <f t="shared" si="11"/>
        <v>342</v>
      </c>
      <c r="O52" s="119">
        <f t="shared" si="12"/>
        <v>342</v>
      </c>
      <c r="P52" s="120">
        <v>5795.92625</v>
      </c>
      <c r="Q52" s="130">
        <f t="shared" si="13"/>
        <v>4123.54718575</v>
      </c>
      <c r="R52" s="131"/>
    </row>
    <row r="53" s="31" customFormat="1" ht="17.25" customHeight="1" spans="1:18">
      <c r="A53" s="71"/>
      <c r="B53" s="85"/>
      <c r="C53" s="85"/>
      <c r="D53" s="86"/>
      <c r="E53" s="24">
        <v>1239000</v>
      </c>
      <c r="F53" s="14">
        <v>143500</v>
      </c>
      <c r="G53" s="15">
        <v>0</v>
      </c>
      <c r="H53" s="8">
        <v>44901</v>
      </c>
      <c r="I53" s="121"/>
      <c r="J53" s="9">
        <v>45224</v>
      </c>
      <c r="K53" s="10">
        <v>0.0465</v>
      </c>
      <c r="L53" s="10">
        <v>0.0365</v>
      </c>
      <c r="M53" s="26">
        <v>0.5</v>
      </c>
      <c r="N53" s="119">
        <f t="shared" si="11"/>
        <v>323</v>
      </c>
      <c r="O53" s="119">
        <f t="shared" si="12"/>
        <v>323</v>
      </c>
      <c r="P53" s="120">
        <v>20287.7645833333</v>
      </c>
      <c r="Q53" s="130">
        <f t="shared" si="13"/>
        <v>0</v>
      </c>
      <c r="R53" s="131"/>
    </row>
    <row r="54" s="31" customFormat="1" ht="17.25" customHeight="1" spans="1:18">
      <c r="A54" s="71"/>
      <c r="B54" s="85"/>
      <c r="C54" s="85"/>
      <c r="D54" s="86"/>
      <c r="E54" s="88"/>
      <c r="F54" s="14">
        <v>1095500</v>
      </c>
      <c r="G54" s="15">
        <f>E53-691151.9</f>
        <v>547848.1</v>
      </c>
      <c r="H54" s="8">
        <f>J53</f>
        <v>45224</v>
      </c>
      <c r="I54" s="121"/>
      <c r="J54" s="9">
        <v>45394</v>
      </c>
      <c r="K54" s="10">
        <v>0.0465</v>
      </c>
      <c r="L54" s="10">
        <v>0.0355</v>
      </c>
      <c r="M54" s="26">
        <v>0.5</v>
      </c>
      <c r="N54" s="119">
        <f t="shared" si="11"/>
        <v>170</v>
      </c>
      <c r="O54" s="119">
        <f t="shared" si="12"/>
        <v>170</v>
      </c>
      <c r="P54" s="120">
        <v>9182.42013888889</v>
      </c>
      <c r="Q54" s="130">
        <f t="shared" si="13"/>
        <v>4592.03233819444</v>
      </c>
      <c r="R54" s="131"/>
    </row>
    <row r="55" s="31" customFormat="1" ht="17.25" customHeight="1" spans="1:18">
      <c r="A55" s="71"/>
      <c r="B55" s="85"/>
      <c r="C55" s="85"/>
      <c r="D55" s="86"/>
      <c r="E55" s="15">
        <v>446800</v>
      </c>
      <c r="F55" s="14">
        <v>446800</v>
      </c>
      <c r="G55" s="13">
        <f>E55-85533.6</f>
        <v>361266.4</v>
      </c>
      <c r="H55" s="8">
        <v>44909</v>
      </c>
      <c r="I55" s="121"/>
      <c r="J55" s="9">
        <v>45394</v>
      </c>
      <c r="K55" s="10">
        <v>0.0465</v>
      </c>
      <c r="L55" s="10">
        <v>0.0365</v>
      </c>
      <c r="M55" s="26">
        <v>0.5</v>
      </c>
      <c r="N55" s="119">
        <f t="shared" si="11"/>
        <v>485</v>
      </c>
      <c r="O55" s="119">
        <f t="shared" si="12"/>
        <v>485</v>
      </c>
      <c r="P55" s="120">
        <v>10985.3847222222</v>
      </c>
      <c r="Q55" s="130">
        <f t="shared" si="13"/>
        <v>8882.38673055555</v>
      </c>
      <c r="R55" s="131"/>
    </row>
    <row r="56" s="31" customFormat="1" ht="17.25" customHeight="1" spans="1:18">
      <c r="A56" s="71"/>
      <c r="B56" s="85"/>
      <c r="C56" s="85"/>
      <c r="D56" s="86"/>
      <c r="E56" s="15">
        <v>1250000</v>
      </c>
      <c r="F56" s="14">
        <v>1250000</v>
      </c>
      <c r="G56" s="13">
        <f>E56-938887.76</f>
        <v>311112.24</v>
      </c>
      <c r="H56" s="8">
        <v>44931</v>
      </c>
      <c r="I56" s="121"/>
      <c r="J56" s="9">
        <v>45394</v>
      </c>
      <c r="K56" s="10">
        <v>0.0465</v>
      </c>
      <c r="L56" s="10">
        <v>0.0365</v>
      </c>
      <c r="M56" s="26">
        <v>0.5</v>
      </c>
      <c r="N56" s="119">
        <f t="shared" si="11"/>
        <v>463</v>
      </c>
      <c r="O56" s="119">
        <f t="shared" si="12"/>
        <v>463</v>
      </c>
      <c r="P56" s="120">
        <v>29339.4097222222</v>
      </c>
      <c r="Q56" s="130">
        <f t="shared" si="13"/>
        <v>7302.27958316667</v>
      </c>
      <c r="R56" s="131"/>
    </row>
    <row r="57" s="31" customFormat="1" ht="17.25" customHeight="1" spans="1:18">
      <c r="A57" s="71"/>
      <c r="B57" s="85"/>
      <c r="C57" s="85"/>
      <c r="D57" s="86"/>
      <c r="E57" s="15">
        <v>1503000</v>
      </c>
      <c r="F57" s="14">
        <v>1503000</v>
      </c>
      <c r="G57" s="13">
        <f>E57-321146.66</f>
        <v>1181853.34</v>
      </c>
      <c r="H57" s="8">
        <v>44936</v>
      </c>
      <c r="I57" s="121"/>
      <c r="J57" s="9">
        <v>45394</v>
      </c>
      <c r="K57" s="10">
        <v>0.0465</v>
      </c>
      <c r="L57" s="10">
        <v>0.0365</v>
      </c>
      <c r="M57" s="26">
        <v>0.5</v>
      </c>
      <c r="N57" s="119">
        <f t="shared" si="11"/>
        <v>458</v>
      </c>
      <c r="O57" s="119">
        <f t="shared" si="12"/>
        <v>458</v>
      </c>
      <c r="P57" s="120">
        <v>34896.7375</v>
      </c>
      <c r="Q57" s="130">
        <f t="shared" si="13"/>
        <v>27440.3365066389</v>
      </c>
      <c r="R57" s="131"/>
    </row>
    <row r="58" s="31" customFormat="1" ht="17.25" customHeight="1" spans="1:18">
      <c r="A58" s="71"/>
      <c r="B58" s="85"/>
      <c r="C58" s="85"/>
      <c r="D58" s="86"/>
      <c r="E58" s="15">
        <v>239000</v>
      </c>
      <c r="F58" s="14">
        <v>239000</v>
      </c>
      <c r="G58" s="13">
        <f>E58-212544.07</f>
        <v>26455.93</v>
      </c>
      <c r="H58" s="8">
        <v>44943</v>
      </c>
      <c r="I58" s="121"/>
      <c r="J58" s="9">
        <v>45394</v>
      </c>
      <c r="K58" s="10">
        <v>0.0465</v>
      </c>
      <c r="L58" s="10">
        <v>0.0365</v>
      </c>
      <c r="M58" s="26">
        <v>0.5</v>
      </c>
      <c r="N58" s="119">
        <f t="shared" si="11"/>
        <v>451</v>
      </c>
      <c r="O58" s="119">
        <f t="shared" si="12"/>
        <v>451</v>
      </c>
      <c r="P58" s="120">
        <v>5464.30347222222</v>
      </c>
      <c r="Q58" s="130">
        <f t="shared" si="13"/>
        <v>604.867071798611</v>
      </c>
      <c r="R58" s="131"/>
    </row>
    <row r="59" s="31" customFormat="1" ht="17.25" customHeight="1" spans="1:18">
      <c r="A59" s="71"/>
      <c r="B59" s="85"/>
      <c r="C59" s="85"/>
      <c r="D59" s="86"/>
      <c r="E59" s="15">
        <v>2120500</v>
      </c>
      <c r="F59" s="14">
        <v>2120500</v>
      </c>
      <c r="G59" s="13">
        <f>E59-1449993.41</f>
        <v>670506.59</v>
      </c>
      <c r="H59" s="8">
        <v>44978</v>
      </c>
      <c r="I59" s="121"/>
      <c r="J59" s="9">
        <v>45394</v>
      </c>
      <c r="K59" s="10">
        <v>0.0465</v>
      </c>
      <c r="L59" s="10">
        <v>0.0365</v>
      </c>
      <c r="M59" s="26">
        <v>0.5</v>
      </c>
      <c r="N59" s="119">
        <f t="shared" si="11"/>
        <v>416</v>
      </c>
      <c r="O59" s="119">
        <f t="shared" si="12"/>
        <v>416</v>
      </c>
      <c r="P59" s="120">
        <v>44718.9888888889</v>
      </c>
      <c r="Q59" s="130">
        <f t="shared" si="13"/>
        <v>14140.2389757778</v>
      </c>
      <c r="R59" s="131"/>
    </row>
    <row r="60" s="31" customFormat="1" ht="17.25" customHeight="1" spans="1:18">
      <c r="A60" s="71"/>
      <c r="B60" s="85"/>
      <c r="C60" s="85"/>
      <c r="D60" s="86"/>
      <c r="E60" s="15">
        <v>444300</v>
      </c>
      <c r="F60" s="14">
        <v>444300</v>
      </c>
      <c r="G60" s="13">
        <f>E60-293305.32</f>
        <v>150994.68</v>
      </c>
      <c r="H60" s="8">
        <v>44995</v>
      </c>
      <c r="I60" s="121"/>
      <c r="J60" s="9">
        <v>45394</v>
      </c>
      <c r="K60" s="10">
        <v>0.0465</v>
      </c>
      <c r="L60" s="10">
        <v>0.0365</v>
      </c>
      <c r="M60" s="26">
        <v>0.5</v>
      </c>
      <c r="N60" s="119">
        <f t="shared" si="11"/>
        <v>399</v>
      </c>
      <c r="O60" s="119">
        <f t="shared" si="12"/>
        <v>399</v>
      </c>
      <c r="P60" s="120">
        <v>8986.893125</v>
      </c>
      <c r="Q60" s="130">
        <f t="shared" si="13"/>
        <v>3054.18197525</v>
      </c>
      <c r="R60" s="131"/>
    </row>
    <row r="61" s="31" customFormat="1" ht="17.25" customHeight="1" spans="1:18">
      <c r="A61" s="71"/>
      <c r="B61" s="85"/>
      <c r="C61" s="85"/>
      <c r="D61" s="86"/>
      <c r="E61" s="15">
        <v>423760</v>
      </c>
      <c r="F61" s="14">
        <v>423760</v>
      </c>
      <c r="G61" s="13">
        <f>E61-158140.1</f>
        <v>265619.9</v>
      </c>
      <c r="H61" s="8">
        <v>45002</v>
      </c>
      <c r="I61" s="121"/>
      <c r="J61" s="9">
        <v>45394</v>
      </c>
      <c r="K61" s="10">
        <v>0.0465</v>
      </c>
      <c r="L61" s="10">
        <v>0.0365</v>
      </c>
      <c r="M61" s="26">
        <v>0.5</v>
      </c>
      <c r="N61" s="119">
        <f t="shared" si="11"/>
        <v>392</v>
      </c>
      <c r="O61" s="119">
        <f t="shared" si="12"/>
        <v>392</v>
      </c>
      <c r="P61" s="120">
        <v>8421.05288888889</v>
      </c>
      <c r="Q61" s="130">
        <f t="shared" si="13"/>
        <v>5278.45767944444</v>
      </c>
      <c r="R61" s="131"/>
    </row>
    <row r="62" s="31" customFormat="1" ht="17.25" customHeight="1" spans="1:18">
      <c r="A62" s="71"/>
      <c r="B62" s="85"/>
      <c r="C62" s="85"/>
      <c r="D62" s="86"/>
      <c r="E62" s="15">
        <v>2235600</v>
      </c>
      <c r="F62" s="14">
        <v>2235600</v>
      </c>
      <c r="G62" s="13">
        <f>E62-608316.09</f>
        <v>1627283.91</v>
      </c>
      <c r="H62" s="8">
        <v>45040</v>
      </c>
      <c r="I62" s="121"/>
      <c r="J62" s="9">
        <v>45394</v>
      </c>
      <c r="K62" s="10">
        <v>0.0465</v>
      </c>
      <c r="L62" s="10">
        <v>0.0365</v>
      </c>
      <c r="M62" s="26">
        <v>0.5</v>
      </c>
      <c r="N62" s="119">
        <f t="shared" si="11"/>
        <v>354</v>
      </c>
      <c r="O62" s="119">
        <f t="shared" si="12"/>
        <v>354</v>
      </c>
      <c r="P62" s="120">
        <v>40119.705</v>
      </c>
      <c r="Q62" s="130">
        <f t="shared" si="13"/>
        <v>29202.965834875</v>
      </c>
      <c r="R62" s="131"/>
    </row>
    <row r="63" s="31" customFormat="1" ht="17.25" customHeight="1" spans="1:18">
      <c r="A63" s="71"/>
      <c r="B63" s="85"/>
      <c r="C63" s="85"/>
      <c r="D63" s="86"/>
      <c r="E63" s="15">
        <v>435800</v>
      </c>
      <c r="F63" s="14">
        <v>435800</v>
      </c>
      <c r="G63" s="13">
        <f>E63-63368.66</f>
        <v>372431.34</v>
      </c>
      <c r="H63" s="8">
        <v>45052</v>
      </c>
      <c r="I63" s="121"/>
      <c r="J63" s="9">
        <v>45394</v>
      </c>
      <c r="K63" s="10">
        <v>0.0465</v>
      </c>
      <c r="L63" s="10">
        <v>0.0365</v>
      </c>
      <c r="M63" s="26">
        <v>0.5</v>
      </c>
      <c r="N63" s="119">
        <f t="shared" si="11"/>
        <v>342</v>
      </c>
      <c r="O63" s="119">
        <f t="shared" si="12"/>
        <v>342</v>
      </c>
      <c r="P63" s="120">
        <v>7555.6825</v>
      </c>
      <c r="Q63" s="130">
        <f t="shared" si="13"/>
        <v>6457.02835725</v>
      </c>
      <c r="R63" s="131"/>
    </row>
    <row r="64" s="31" customFormat="1" ht="17.25" customHeight="1" spans="1:18">
      <c r="A64" s="71"/>
      <c r="B64" s="85"/>
      <c r="C64" s="85"/>
      <c r="D64" s="86"/>
      <c r="E64" s="89">
        <v>649800</v>
      </c>
      <c r="F64" s="89">
        <v>649800</v>
      </c>
      <c r="G64" s="13">
        <f>E64-364552.2</f>
        <v>285247.8</v>
      </c>
      <c r="H64" s="9">
        <v>45063</v>
      </c>
      <c r="I64" s="121"/>
      <c r="J64" s="9">
        <v>45394</v>
      </c>
      <c r="K64" s="10">
        <v>0.0465</v>
      </c>
      <c r="L64" s="10">
        <v>0.0365</v>
      </c>
      <c r="M64" s="26">
        <v>0.5</v>
      </c>
      <c r="N64" s="119">
        <f t="shared" si="11"/>
        <v>331</v>
      </c>
      <c r="O64" s="119">
        <f t="shared" si="12"/>
        <v>331</v>
      </c>
      <c r="P64" s="120">
        <v>10903.55375</v>
      </c>
      <c r="Q64" s="130">
        <f t="shared" si="13"/>
        <v>4786.41846625</v>
      </c>
      <c r="R64" s="131"/>
    </row>
    <row r="65" s="31" customFormat="1" ht="17.25" customHeight="1" spans="1:18">
      <c r="A65" s="71"/>
      <c r="B65" s="85"/>
      <c r="C65" s="85"/>
      <c r="D65" s="86"/>
      <c r="E65" s="89">
        <v>222000</v>
      </c>
      <c r="F65" s="89">
        <v>222000</v>
      </c>
      <c r="G65" s="13">
        <f>E65-193082.98</f>
        <v>28917.02</v>
      </c>
      <c r="H65" s="9">
        <v>45071</v>
      </c>
      <c r="I65" s="121"/>
      <c r="J65" s="9">
        <v>45394</v>
      </c>
      <c r="K65" s="10">
        <v>0.0465</v>
      </c>
      <c r="L65" s="10">
        <v>0.0365</v>
      </c>
      <c r="M65" s="26">
        <v>0.5</v>
      </c>
      <c r="N65" s="119">
        <f t="shared" si="11"/>
        <v>323</v>
      </c>
      <c r="O65" s="119">
        <f t="shared" si="12"/>
        <v>323</v>
      </c>
      <c r="P65" s="120">
        <v>3635.09583333333</v>
      </c>
      <c r="Q65" s="130">
        <f t="shared" si="13"/>
        <v>473.496121236111</v>
      </c>
      <c r="R65" s="131"/>
    </row>
    <row r="66" s="31" customFormat="1" ht="17.25" customHeight="1" spans="1:18">
      <c r="A66" s="71"/>
      <c r="B66" s="85"/>
      <c r="C66" s="85"/>
      <c r="D66" s="86"/>
      <c r="E66" s="89">
        <v>1249400</v>
      </c>
      <c r="F66" s="89">
        <v>1249400</v>
      </c>
      <c r="G66" s="13">
        <f>E66-504603.31</f>
        <v>744796.69</v>
      </c>
      <c r="H66" s="9">
        <v>45093</v>
      </c>
      <c r="I66" s="121"/>
      <c r="J66" s="9">
        <v>45394</v>
      </c>
      <c r="K66" s="10">
        <v>0.0465</v>
      </c>
      <c r="L66" s="10">
        <v>0.0365</v>
      </c>
      <c r="M66" s="26">
        <v>0.5</v>
      </c>
      <c r="N66" s="119">
        <f t="shared" si="11"/>
        <v>301</v>
      </c>
      <c r="O66" s="119">
        <f t="shared" si="12"/>
        <v>301</v>
      </c>
      <c r="P66" s="120">
        <v>19064.6293055556</v>
      </c>
      <c r="Q66" s="130">
        <f t="shared" si="13"/>
        <v>11364.8733815069</v>
      </c>
      <c r="R66" s="131"/>
    </row>
    <row r="67" s="31" customFormat="1" ht="17.25" customHeight="1" spans="1:18">
      <c r="A67" s="71"/>
      <c r="B67" s="85"/>
      <c r="C67" s="85"/>
      <c r="D67" s="86"/>
      <c r="E67" s="89">
        <v>102000</v>
      </c>
      <c r="F67" s="89">
        <v>102000</v>
      </c>
      <c r="G67" s="13">
        <f>E67-102000</f>
        <v>0</v>
      </c>
      <c r="H67" s="9">
        <v>45110</v>
      </c>
      <c r="I67" s="121"/>
      <c r="J67" s="9">
        <v>45394</v>
      </c>
      <c r="K67" s="10">
        <v>0.0465</v>
      </c>
      <c r="L67" s="17">
        <v>0.0355</v>
      </c>
      <c r="M67" s="26">
        <v>0.5</v>
      </c>
      <c r="N67" s="119">
        <f t="shared" si="11"/>
        <v>284</v>
      </c>
      <c r="O67" s="119">
        <f t="shared" si="12"/>
        <v>284</v>
      </c>
      <c r="P67" s="120">
        <v>1428.28333333333</v>
      </c>
      <c r="Q67" s="130">
        <f t="shared" si="13"/>
        <v>0</v>
      </c>
      <c r="R67" s="131"/>
    </row>
    <row r="68" s="31" customFormat="1" ht="17.25" customHeight="1" spans="1:18">
      <c r="A68" s="71"/>
      <c r="B68" s="85"/>
      <c r="C68" s="85"/>
      <c r="D68" s="86"/>
      <c r="E68" s="89">
        <v>1188492</v>
      </c>
      <c r="F68" s="89">
        <v>1188492</v>
      </c>
      <c r="G68" s="13">
        <f>E68-451187.55</f>
        <v>737304.45</v>
      </c>
      <c r="H68" s="9">
        <v>45126</v>
      </c>
      <c r="I68" s="121"/>
      <c r="J68" s="9">
        <v>45394</v>
      </c>
      <c r="K68" s="10">
        <v>0.0465</v>
      </c>
      <c r="L68" s="17">
        <v>0.0355</v>
      </c>
      <c r="M68" s="26">
        <v>0.5</v>
      </c>
      <c r="N68" s="119">
        <f t="shared" si="11"/>
        <v>268</v>
      </c>
      <c r="O68" s="119">
        <f t="shared" si="12"/>
        <v>268</v>
      </c>
      <c r="P68" s="120">
        <v>15704.6012333333</v>
      </c>
      <c r="Q68" s="130">
        <f t="shared" si="13"/>
        <v>9742.65907958333</v>
      </c>
      <c r="R68" s="131"/>
    </row>
    <row r="69" s="31" customFormat="1" ht="13" spans="1:18">
      <c r="A69" s="71"/>
      <c r="B69" s="85"/>
      <c r="C69" s="85"/>
      <c r="D69" s="86"/>
      <c r="E69" s="89">
        <v>400000</v>
      </c>
      <c r="F69" s="89">
        <v>400000</v>
      </c>
      <c r="G69" s="13">
        <f>E69</f>
        <v>400000</v>
      </c>
      <c r="H69" s="9">
        <v>45127</v>
      </c>
      <c r="I69" s="144"/>
      <c r="J69" s="9">
        <v>45394</v>
      </c>
      <c r="K69" s="10">
        <v>0.0465</v>
      </c>
      <c r="L69" s="17">
        <v>0.0355</v>
      </c>
      <c r="M69" s="26">
        <v>0.5</v>
      </c>
      <c r="N69" s="119">
        <f t="shared" si="11"/>
        <v>267</v>
      </c>
      <c r="O69" s="119">
        <f t="shared" si="12"/>
        <v>267</v>
      </c>
      <c r="P69" s="120">
        <v>5265.83333333333</v>
      </c>
      <c r="Q69" s="130">
        <f t="shared" si="13"/>
        <v>5265.83333333333</v>
      </c>
      <c r="R69" s="131"/>
    </row>
    <row r="70" s="31" customFormat="1" ht="20.25" customHeight="1" spans="1:18">
      <c r="A70" s="132"/>
      <c r="B70" s="80" t="s">
        <v>92</v>
      </c>
      <c r="C70" s="81"/>
      <c r="D70" s="82">
        <f>SUM(D42)</f>
        <v>30000000</v>
      </c>
      <c r="E70" s="82">
        <f>SUM(E42:E69)</f>
        <v>22005952</v>
      </c>
      <c r="F70" s="82">
        <f t="shared" ref="F70:G70" si="14">SUM(F42:F69)</f>
        <v>22005952</v>
      </c>
      <c r="G70" s="82">
        <f t="shared" si="14"/>
        <v>10875149.08</v>
      </c>
      <c r="H70" s="82"/>
      <c r="I70" s="82"/>
      <c r="J70" s="82"/>
      <c r="K70" s="82"/>
      <c r="L70" s="82"/>
      <c r="M70" s="82"/>
      <c r="N70" s="82"/>
      <c r="O70" s="82"/>
      <c r="P70" s="82">
        <f>SUM(P42:P69)</f>
        <v>391788.217594444</v>
      </c>
      <c r="Q70" s="82">
        <f>SUM(Q42:Q69)</f>
        <v>181022.241098938</v>
      </c>
      <c r="R70" s="77"/>
    </row>
    <row r="71" s="31" customFormat="1" ht="20.25" customHeight="1" spans="1:18">
      <c r="A71" s="59">
        <v>6</v>
      </c>
      <c r="B71" s="133" t="s">
        <v>103</v>
      </c>
      <c r="C71" s="134" t="s">
        <v>104</v>
      </c>
      <c r="D71" s="135">
        <v>10000000</v>
      </c>
      <c r="E71" s="136">
        <v>1500000</v>
      </c>
      <c r="F71" s="137">
        <v>0</v>
      </c>
      <c r="G71" s="137">
        <v>0</v>
      </c>
      <c r="H71" s="138">
        <v>44610</v>
      </c>
      <c r="I71" s="138">
        <v>45321</v>
      </c>
      <c r="J71" s="138">
        <v>44886</v>
      </c>
      <c r="K71" s="145">
        <v>0.05</v>
      </c>
      <c r="L71" s="146">
        <v>0.037</v>
      </c>
      <c r="M71" s="147">
        <v>0.5</v>
      </c>
      <c r="N71" s="133">
        <v>711</v>
      </c>
      <c r="O71" s="133">
        <f>J71-H71</f>
        <v>276</v>
      </c>
      <c r="P71" s="148">
        <v>0</v>
      </c>
      <c r="Q71" s="148">
        <f>G71*L71*M71*O71/360</f>
        <v>0</v>
      </c>
      <c r="R71" s="131"/>
    </row>
    <row r="72" s="31" customFormat="1" ht="20.25" customHeight="1" spans="1:18">
      <c r="A72" s="59"/>
      <c r="B72" s="133"/>
      <c r="C72" s="134"/>
      <c r="D72" s="135"/>
      <c r="E72" s="136">
        <v>1500000</v>
      </c>
      <c r="F72" s="137">
        <v>0</v>
      </c>
      <c r="G72" s="137">
        <v>0</v>
      </c>
      <c r="H72" s="138"/>
      <c r="I72" s="138"/>
      <c r="J72" s="138">
        <v>44971</v>
      </c>
      <c r="K72" s="145"/>
      <c r="L72" s="146"/>
      <c r="M72" s="147"/>
      <c r="N72" s="133"/>
      <c r="O72" s="133">
        <f>J72-H71</f>
        <v>361</v>
      </c>
      <c r="P72" s="148">
        <v>0</v>
      </c>
      <c r="Q72" s="148">
        <f>G72*L71*M71*O72/360</f>
        <v>0</v>
      </c>
      <c r="R72" s="131"/>
    </row>
    <row r="73" s="31" customFormat="1" ht="20.25" customHeight="1" spans="1:18">
      <c r="A73" s="59"/>
      <c r="B73" s="133"/>
      <c r="C73" s="134"/>
      <c r="D73" s="135"/>
      <c r="E73" s="136">
        <v>1500000</v>
      </c>
      <c r="F73" s="137">
        <v>0</v>
      </c>
      <c r="G73" s="137">
        <v>0</v>
      </c>
      <c r="H73" s="138"/>
      <c r="I73" s="138"/>
      <c r="J73" s="138">
        <v>45068</v>
      </c>
      <c r="K73" s="145"/>
      <c r="L73" s="146"/>
      <c r="M73" s="147"/>
      <c r="N73" s="133"/>
      <c r="O73" s="133">
        <f>J73-H71</f>
        <v>458</v>
      </c>
      <c r="P73" s="148">
        <v>0</v>
      </c>
      <c r="Q73" s="148">
        <f>G73*M71*L71*O73/360</f>
        <v>0</v>
      </c>
      <c r="R73" s="131"/>
    </row>
    <row r="74" s="31" customFormat="1" ht="20.25" customHeight="1" spans="1:18">
      <c r="A74" s="59"/>
      <c r="B74" s="133"/>
      <c r="C74" s="134"/>
      <c r="D74" s="135"/>
      <c r="E74" s="136">
        <v>1500000</v>
      </c>
      <c r="F74" s="137">
        <v>0</v>
      </c>
      <c r="G74" s="137">
        <v>0</v>
      </c>
      <c r="H74" s="138"/>
      <c r="I74" s="138"/>
      <c r="J74" s="138">
        <v>45159</v>
      </c>
      <c r="K74" s="145"/>
      <c r="L74" s="146"/>
      <c r="M74" s="147"/>
      <c r="N74" s="133"/>
      <c r="O74" s="133">
        <f>J74-H71</f>
        <v>549</v>
      </c>
      <c r="P74" s="148">
        <v>0</v>
      </c>
      <c r="Q74" s="148">
        <f>G74*L71*M71*O74/360</f>
        <v>0</v>
      </c>
      <c r="R74" s="131"/>
    </row>
    <row r="75" s="31" customFormat="1" ht="20.25" customHeight="1" spans="1:18">
      <c r="A75" s="59"/>
      <c r="B75" s="133"/>
      <c r="C75" s="134"/>
      <c r="D75" s="135"/>
      <c r="E75" s="136">
        <v>1500000</v>
      </c>
      <c r="F75" s="137">
        <v>0</v>
      </c>
      <c r="G75" s="137">
        <v>0</v>
      </c>
      <c r="H75" s="138">
        <v>44614</v>
      </c>
      <c r="I75" s="138"/>
      <c r="J75" s="138">
        <v>45251</v>
      </c>
      <c r="K75" s="145"/>
      <c r="L75" s="146"/>
      <c r="M75" s="147"/>
      <c r="N75" s="133"/>
      <c r="O75" s="133">
        <f>J75-H71</f>
        <v>641</v>
      </c>
      <c r="P75" s="119">
        <v>0</v>
      </c>
      <c r="Q75" s="148">
        <f>G75*L71*M71*O75/360</f>
        <v>0</v>
      </c>
      <c r="R75" s="131"/>
    </row>
    <row r="76" s="31" customFormat="1" ht="20.25" customHeight="1" spans="1:18">
      <c r="A76" s="59"/>
      <c r="B76" s="133"/>
      <c r="C76" s="134"/>
      <c r="D76" s="135"/>
      <c r="E76" s="136">
        <v>2500000</v>
      </c>
      <c r="F76" s="139">
        <v>1691002.46</v>
      </c>
      <c r="G76" s="137">
        <v>1691002.46</v>
      </c>
      <c r="H76" s="138"/>
      <c r="I76" s="138"/>
      <c r="J76" s="138">
        <v>45321</v>
      </c>
      <c r="K76" s="145"/>
      <c r="L76" s="146"/>
      <c r="M76" s="147"/>
      <c r="N76" s="133"/>
      <c r="O76" s="133">
        <f>J76-H75</f>
        <v>707</v>
      </c>
      <c r="P76" s="119">
        <f>F76*M71*N71*3.65%/360</f>
        <v>60950.069917625</v>
      </c>
      <c r="Q76" s="148">
        <f>G76*L71*M71*O76/360</f>
        <v>61437.4074321389</v>
      </c>
      <c r="R76" s="131"/>
    </row>
    <row r="77" s="31" customFormat="1" ht="45" customHeight="1" spans="1:18">
      <c r="A77" s="59"/>
      <c r="B77" s="133"/>
      <c r="C77" s="133" t="s">
        <v>105</v>
      </c>
      <c r="D77" s="136">
        <v>9200000</v>
      </c>
      <c r="E77" s="136">
        <v>9200000</v>
      </c>
      <c r="F77" s="140">
        <v>435320.27</v>
      </c>
      <c r="G77" s="136">
        <f>2119683.86-G76</f>
        <v>428681.4</v>
      </c>
      <c r="H77" s="138">
        <v>44923</v>
      </c>
      <c r="I77" s="138">
        <v>45281</v>
      </c>
      <c r="J77" s="149">
        <v>45281</v>
      </c>
      <c r="K77" s="145">
        <v>0.055</v>
      </c>
      <c r="L77" s="146">
        <v>0.0365</v>
      </c>
      <c r="M77" s="147">
        <v>0.5</v>
      </c>
      <c r="N77" s="133">
        <f>J77-H77</f>
        <v>358</v>
      </c>
      <c r="O77" s="133">
        <f>J77-H77</f>
        <v>358</v>
      </c>
      <c r="P77" s="119">
        <f>F77*L77*M77*N77/360</f>
        <v>7900.45828901389</v>
      </c>
      <c r="Q77" s="119">
        <v>0</v>
      </c>
      <c r="R77" s="131"/>
    </row>
    <row r="78" s="31" customFormat="1" ht="67" customHeight="1" spans="1:18">
      <c r="A78" s="59"/>
      <c r="B78" s="133"/>
      <c r="C78" s="133" t="s">
        <v>106</v>
      </c>
      <c r="D78" s="136">
        <v>6000000</v>
      </c>
      <c r="E78" s="136">
        <v>6000000</v>
      </c>
      <c r="F78" s="140">
        <v>807273.3</v>
      </c>
      <c r="G78" s="140">
        <v>0</v>
      </c>
      <c r="H78" s="138">
        <v>44979</v>
      </c>
      <c r="I78" s="138">
        <v>45230</v>
      </c>
      <c r="J78" s="149">
        <v>45230</v>
      </c>
      <c r="K78" s="145">
        <v>0.066</v>
      </c>
      <c r="L78" s="146">
        <v>0.0365</v>
      </c>
      <c r="M78" s="147">
        <v>0.5</v>
      </c>
      <c r="N78" s="133">
        <f>J78-H78</f>
        <v>251</v>
      </c>
      <c r="O78" s="133">
        <f>J78-H78</f>
        <v>251</v>
      </c>
      <c r="P78" s="119">
        <f>F78*L78*M78*N78/360</f>
        <v>10271.9921360417</v>
      </c>
      <c r="Q78" s="119">
        <v>0</v>
      </c>
      <c r="R78" s="131"/>
    </row>
    <row r="79" s="31" customFormat="1" ht="20.25" customHeight="1" spans="1:18">
      <c r="A79" s="59"/>
      <c r="B79" s="81" t="s">
        <v>92</v>
      </c>
      <c r="C79" s="81"/>
      <c r="D79" s="82">
        <f>SUM(D71:D78)</f>
        <v>25200000</v>
      </c>
      <c r="E79" s="82">
        <f t="shared" ref="E79:Q79" si="15">SUM(E71:E78)</f>
        <v>25200000</v>
      </c>
      <c r="F79" s="82">
        <f t="shared" si="15"/>
        <v>2933596.03</v>
      </c>
      <c r="G79" s="82">
        <f t="shared" si="15"/>
        <v>2119683.86</v>
      </c>
      <c r="H79" s="82"/>
      <c r="I79" s="82"/>
      <c r="J79" s="82"/>
      <c r="K79" s="82"/>
      <c r="L79" s="82"/>
      <c r="M79" s="82"/>
      <c r="N79" s="82"/>
      <c r="O79" s="82"/>
      <c r="P79" s="82">
        <f t="shared" si="15"/>
        <v>79122.5203426805</v>
      </c>
      <c r="Q79" s="82">
        <f t="shared" si="15"/>
        <v>61437.4074321389</v>
      </c>
      <c r="R79" s="77"/>
    </row>
    <row r="80" s="31" customFormat="1" ht="18.75" customHeight="1" spans="1:18">
      <c r="A80" s="141" t="s">
        <v>107</v>
      </c>
      <c r="B80" s="142"/>
      <c r="C80" s="125"/>
      <c r="D80" s="143">
        <f>D28+D32+D38+D41+D70+D79</f>
        <v>192000000</v>
      </c>
      <c r="E80" s="143">
        <f t="shared" ref="E80:Q80" si="16">E28+E32+E38+E41+E70+E79</f>
        <v>184005952</v>
      </c>
      <c r="F80" s="143">
        <f t="shared" si="16"/>
        <v>129354723.76</v>
      </c>
      <c r="G80" s="143">
        <f t="shared" si="16"/>
        <v>98994832.94</v>
      </c>
      <c r="H80" s="143"/>
      <c r="I80" s="143"/>
      <c r="J80" s="143"/>
      <c r="K80" s="143"/>
      <c r="L80" s="143"/>
      <c r="M80" s="143"/>
      <c r="N80" s="143"/>
      <c r="O80" s="143"/>
      <c r="P80" s="143">
        <f t="shared" si="16"/>
        <v>2530549.27238157</v>
      </c>
      <c r="Q80" s="143">
        <f t="shared" si="16"/>
        <v>2268171.65241997</v>
      </c>
      <c r="R80" s="77"/>
    </row>
  </sheetData>
  <autoFilter xmlns:etc="http://www.wps.cn/officeDocument/2017/etCustomData" ref="A3:U80" etc:filterBottomFollowUsedRange="0">
    <extLst/>
  </autoFilter>
  <mergeCells count="52">
    <mergeCell ref="A1:R1"/>
    <mergeCell ref="A2:R2"/>
    <mergeCell ref="B32:C32"/>
    <mergeCell ref="A80:B80"/>
    <mergeCell ref="A4:A28"/>
    <mergeCell ref="A29:A32"/>
    <mergeCell ref="A33:A38"/>
    <mergeCell ref="A39:A41"/>
    <mergeCell ref="A42:A70"/>
    <mergeCell ref="A71:A79"/>
    <mergeCell ref="B4:B27"/>
    <mergeCell ref="B29:B31"/>
    <mergeCell ref="B33:B37"/>
    <mergeCell ref="B39:B40"/>
    <mergeCell ref="B42:B69"/>
    <mergeCell ref="B71:B78"/>
    <mergeCell ref="C4:C19"/>
    <mergeCell ref="C20:C25"/>
    <mergeCell ref="C26:C27"/>
    <mergeCell ref="C29:C30"/>
    <mergeCell ref="C33:C37"/>
    <mergeCell ref="C39:C40"/>
    <mergeCell ref="C42:C69"/>
    <mergeCell ref="C71:C76"/>
    <mergeCell ref="D4:D19"/>
    <mergeCell ref="D23:D25"/>
    <mergeCell ref="D26:D27"/>
    <mergeCell ref="D29:D30"/>
    <mergeCell ref="D33:D37"/>
    <mergeCell ref="D39:D40"/>
    <mergeCell ref="D42:D69"/>
    <mergeCell ref="D71:D76"/>
    <mergeCell ref="E4:E11"/>
    <mergeCell ref="E29:E30"/>
    <mergeCell ref="E42:E43"/>
    <mergeCell ref="E46:E47"/>
    <mergeCell ref="E53:E54"/>
    <mergeCell ref="F4:F11"/>
    <mergeCell ref="F29:F30"/>
    <mergeCell ref="F33:F37"/>
    <mergeCell ref="G33:G37"/>
    <mergeCell ref="H71:H74"/>
    <mergeCell ref="H75:H76"/>
    <mergeCell ref="I42:I69"/>
    <mergeCell ref="I71:I76"/>
    <mergeCell ref="K71:K76"/>
    <mergeCell ref="L71:L76"/>
    <mergeCell ref="M71:M76"/>
    <mergeCell ref="N71:N76"/>
    <mergeCell ref="P4:P11"/>
    <mergeCell ref="P29:P30"/>
    <mergeCell ref="P33:P37"/>
  </mergeCells>
  <pageMargins left="0.708333333333333" right="0.432638888888889" top="0.432638888888889" bottom="0.590277777777778" header="0.314583333333333" footer="0.314583333333333"/>
  <pageSetup paperSize="8" scale="80" fitToHeight="0" orientation="landscape" useFirstPageNumber="1"/>
  <headerFooter>
    <oddFooter>&amp;C第 &amp;P 页，共 &amp;N 页</oddFooter>
  </headerFooter>
  <ignoredErrors>
    <ignoredError sqref="A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F12" sqref="F12"/>
    </sheetView>
  </sheetViews>
  <sheetFormatPr defaultColWidth="8.625" defaultRowHeight="14"/>
  <cols>
    <col min="1" max="1" width="4.875" customWidth="1"/>
    <col min="2" max="2" width="14.875"/>
    <col min="3" max="3" width="13.625" customWidth="1"/>
    <col min="4" max="5" width="9.75"/>
    <col min="7" max="7" width="8.625" hidden="1" customWidth="1"/>
    <col min="9" max="9" width="12.25" customWidth="1"/>
  </cols>
  <sheetData>
    <row r="1" ht="39" spans="1:9">
      <c r="A1" s="1" t="s">
        <v>2</v>
      </c>
      <c r="B1" s="2" t="s">
        <v>108</v>
      </c>
      <c r="C1" s="2" t="s">
        <v>65</v>
      </c>
      <c r="D1" s="1" t="s">
        <v>48</v>
      </c>
      <c r="E1" s="1" t="s">
        <v>67</v>
      </c>
      <c r="F1" s="3" t="s">
        <v>69</v>
      </c>
      <c r="G1" s="1" t="s">
        <v>70</v>
      </c>
      <c r="H1" s="1" t="s">
        <v>71</v>
      </c>
      <c r="I1" s="4" t="s">
        <v>73</v>
      </c>
    </row>
    <row r="2" spans="1:9">
      <c r="A2" s="5">
        <v>1</v>
      </c>
      <c r="B2" s="6">
        <v>1000000</v>
      </c>
      <c r="C2" s="7">
        <v>216424.03</v>
      </c>
      <c r="D2" s="8">
        <v>44799</v>
      </c>
      <c r="E2" s="9" t="s">
        <v>101</v>
      </c>
      <c r="F2" s="10">
        <v>0.0365</v>
      </c>
      <c r="G2" s="26">
        <v>0.5</v>
      </c>
      <c r="H2" s="27">
        <v>60</v>
      </c>
      <c r="I2" s="12">
        <v>5535.83333333333</v>
      </c>
    </row>
    <row r="3" spans="1:9">
      <c r="A3" s="5">
        <v>2</v>
      </c>
      <c r="B3" s="6">
        <v>820000</v>
      </c>
      <c r="C3" s="7">
        <v>820000</v>
      </c>
      <c r="D3" s="8" t="s">
        <v>101</v>
      </c>
      <c r="E3" s="9">
        <v>45041</v>
      </c>
      <c r="F3" s="10">
        <v>0.0365</v>
      </c>
      <c r="G3" s="26">
        <v>0.5</v>
      </c>
      <c r="H3" s="27">
        <v>182</v>
      </c>
      <c r="I3" s="12">
        <v>7565.63888888889</v>
      </c>
    </row>
    <row r="4" spans="1:9">
      <c r="A4" s="5">
        <v>3</v>
      </c>
      <c r="B4" s="6">
        <v>670000</v>
      </c>
      <c r="C4" s="13">
        <v>325422</v>
      </c>
      <c r="D4" s="8">
        <v>44819</v>
      </c>
      <c r="E4" s="9" t="s">
        <v>102</v>
      </c>
      <c r="F4" s="10">
        <v>0.0365</v>
      </c>
      <c r="G4" s="26">
        <v>0.5</v>
      </c>
      <c r="H4" s="27">
        <v>222</v>
      </c>
      <c r="I4" s="12">
        <v>7540.29166666667</v>
      </c>
    </row>
    <row r="5" spans="1:9">
      <c r="A5" s="5">
        <v>4</v>
      </c>
      <c r="B5" s="14">
        <v>378000</v>
      </c>
      <c r="C5" s="13">
        <v>1000</v>
      </c>
      <c r="D5" s="8">
        <v>44833</v>
      </c>
      <c r="E5" s="9">
        <v>45041</v>
      </c>
      <c r="F5" s="10">
        <v>0.0365</v>
      </c>
      <c r="G5" s="26">
        <v>0.5</v>
      </c>
      <c r="H5" s="27">
        <v>208</v>
      </c>
      <c r="I5" s="12">
        <v>3985.8</v>
      </c>
    </row>
    <row r="6" spans="1:9">
      <c r="A6" s="5">
        <v>5</v>
      </c>
      <c r="B6" s="14">
        <v>132000</v>
      </c>
      <c r="C6" s="15">
        <v>0</v>
      </c>
      <c r="D6" s="8">
        <v>44844</v>
      </c>
      <c r="E6" s="9" t="s">
        <v>102</v>
      </c>
      <c r="F6" s="10">
        <v>0.0365</v>
      </c>
      <c r="G6" s="26">
        <v>0.5</v>
      </c>
      <c r="H6" s="27">
        <v>197</v>
      </c>
      <c r="I6" s="12">
        <v>12396.6217361111</v>
      </c>
    </row>
    <row r="7" spans="1:9">
      <c r="A7" s="5">
        <v>6</v>
      </c>
      <c r="B7" s="14">
        <v>1109300</v>
      </c>
      <c r="C7" s="15">
        <v>306726.89</v>
      </c>
      <c r="D7" s="8" t="s">
        <v>102</v>
      </c>
      <c r="E7" s="9">
        <v>45224</v>
      </c>
      <c r="F7" s="10">
        <v>0.0365</v>
      </c>
      <c r="G7" s="26">
        <v>0.5</v>
      </c>
      <c r="H7" s="27">
        <v>183</v>
      </c>
      <c r="I7" s="12">
        <v>10291.0685416667</v>
      </c>
    </row>
    <row r="8" spans="1:9">
      <c r="A8" s="5">
        <v>7</v>
      </c>
      <c r="B8" s="14">
        <v>1040000</v>
      </c>
      <c r="C8" s="13">
        <v>879769.15</v>
      </c>
      <c r="D8" s="8">
        <v>44848</v>
      </c>
      <c r="E8" s="9">
        <v>45224</v>
      </c>
      <c r="F8" s="10">
        <v>0.0365</v>
      </c>
      <c r="G8" s="26">
        <v>0.5</v>
      </c>
      <c r="H8" s="27">
        <v>376</v>
      </c>
      <c r="I8" s="12">
        <v>19823.5555555556</v>
      </c>
    </row>
    <row r="9" spans="1:9">
      <c r="A9" s="5">
        <v>8</v>
      </c>
      <c r="B9" s="14">
        <v>471100</v>
      </c>
      <c r="C9" s="13">
        <v>26483.6</v>
      </c>
      <c r="D9" s="8">
        <v>44853</v>
      </c>
      <c r="E9" s="9">
        <v>45224</v>
      </c>
      <c r="F9" s="10">
        <v>0.0365</v>
      </c>
      <c r="G9" s="26">
        <v>0.5</v>
      </c>
      <c r="H9" s="27">
        <v>371</v>
      </c>
      <c r="I9" s="12">
        <v>8860.27868055556</v>
      </c>
    </row>
    <row r="10" spans="1:9">
      <c r="A10" s="5">
        <v>9</v>
      </c>
      <c r="B10" s="14">
        <v>585000</v>
      </c>
      <c r="C10" s="13">
        <v>168765.6</v>
      </c>
      <c r="D10" s="8">
        <v>44862</v>
      </c>
      <c r="E10" s="9">
        <v>45224</v>
      </c>
      <c r="F10" s="10">
        <v>0.0365</v>
      </c>
      <c r="G10" s="26">
        <v>0.5</v>
      </c>
      <c r="H10" s="27">
        <v>362</v>
      </c>
      <c r="I10" s="12">
        <v>10735.5625</v>
      </c>
    </row>
    <row r="11" spans="1:9">
      <c r="A11" s="5">
        <v>10</v>
      </c>
      <c r="B11" s="14">
        <v>1316800</v>
      </c>
      <c r="C11" s="13">
        <v>181079.64</v>
      </c>
      <c r="D11" s="8">
        <v>44875</v>
      </c>
      <c r="E11" s="9">
        <v>45224</v>
      </c>
      <c r="F11" s="10">
        <v>0.0365</v>
      </c>
      <c r="G11" s="26">
        <v>0.5</v>
      </c>
      <c r="H11" s="27">
        <v>349</v>
      </c>
      <c r="I11" s="12">
        <v>23297.3011111111</v>
      </c>
    </row>
    <row r="12" spans="1:9">
      <c r="A12" s="5">
        <v>11</v>
      </c>
      <c r="B12" s="14">
        <v>334300</v>
      </c>
      <c r="C12" s="13">
        <v>237839.78</v>
      </c>
      <c r="D12" s="8">
        <v>44882</v>
      </c>
      <c r="E12" s="9">
        <v>45224</v>
      </c>
      <c r="F12" s="10">
        <v>0.0365</v>
      </c>
      <c r="G12" s="26">
        <v>0.5</v>
      </c>
      <c r="H12" s="27">
        <v>342</v>
      </c>
      <c r="I12" s="12">
        <v>5795.92625</v>
      </c>
    </row>
    <row r="13" spans="1:9">
      <c r="A13" s="5">
        <v>12</v>
      </c>
      <c r="B13" s="14">
        <v>143500</v>
      </c>
      <c r="C13" s="15">
        <v>0</v>
      </c>
      <c r="D13" s="8">
        <v>44901</v>
      </c>
      <c r="E13" s="9">
        <v>45224</v>
      </c>
      <c r="F13" s="10">
        <v>0.0365</v>
      </c>
      <c r="G13" s="26">
        <v>0.5</v>
      </c>
      <c r="H13" s="27">
        <v>323</v>
      </c>
      <c r="I13" s="12">
        <v>20287.7645833333</v>
      </c>
    </row>
    <row r="14" spans="1:9">
      <c r="A14" s="5">
        <v>13</v>
      </c>
      <c r="B14" s="14">
        <v>1095500</v>
      </c>
      <c r="C14" s="15">
        <v>547848.1</v>
      </c>
      <c r="D14" s="8">
        <v>45224</v>
      </c>
      <c r="E14" s="9">
        <v>45394</v>
      </c>
      <c r="F14" s="10">
        <v>0.0355</v>
      </c>
      <c r="G14" s="26">
        <v>0.5</v>
      </c>
      <c r="H14" s="27">
        <v>170</v>
      </c>
      <c r="I14" s="12">
        <v>9182.42013888889</v>
      </c>
    </row>
    <row r="15" spans="1:9">
      <c r="A15" s="5">
        <v>14</v>
      </c>
      <c r="B15" s="14">
        <v>446800</v>
      </c>
      <c r="C15" s="13">
        <v>361266.4</v>
      </c>
      <c r="D15" s="8">
        <v>44909</v>
      </c>
      <c r="E15" s="9">
        <v>45394</v>
      </c>
      <c r="F15" s="10">
        <v>0.0365</v>
      </c>
      <c r="G15" s="26">
        <v>0.5</v>
      </c>
      <c r="H15" s="27">
        <v>485</v>
      </c>
      <c r="I15" s="12">
        <v>10985.3847222222</v>
      </c>
    </row>
    <row r="16" spans="1:9">
      <c r="A16" s="5">
        <v>15</v>
      </c>
      <c r="B16" s="14">
        <v>1250000</v>
      </c>
      <c r="C16" s="13">
        <v>311112.24</v>
      </c>
      <c r="D16" s="8">
        <v>44931</v>
      </c>
      <c r="E16" s="9">
        <v>45394</v>
      </c>
      <c r="F16" s="10">
        <v>0.0365</v>
      </c>
      <c r="G16" s="26">
        <v>0.5</v>
      </c>
      <c r="H16" s="27">
        <v>463</v>
      </c>
      <c r="I16" s="12">
        <v>29339.4097222222</v>
      </c>
    </row>
    <row r="17" spans="1:9">
      <c r="A17" s="5">
        <v>16</v>
      </c>
      <c r="B17" s="14">
        <v>1503000</v>
      </c>
      <c r="C17" s="13">
        <v>1181853.34</v>
      </c>
      <c r="D17" s="8">
        <v>44936</v>
      </c>
      <c r="E17" s="9">
        <v>45394</v>
      </c>
      <c r="F17" s="10">
        <v>0.0365</v>
      </c>
      <c r="G17" s="26">
        <v>0.5</v>
      </c>
      <c r="H17" s="27">
        <v>458</v>
      </c>
      <c r="I17" s="12">
        <v>34896.7375</v>
      </c>
    </row>
    <row r="18" spans="1:9">
      <c r="A18" s="5">
        <v>17</v>
      </c>
      <c r="B18" s="14">
        <v>239000</v>
      </c>
      <c r="C18" s="13">
        <v>26455.93</v>
      </c>
      <c r="D18" s="8">
        <v>44943</v>
      </c>
      <c r="E18" s="9">
        <v>45394</v>
      </c>
      <c r="F18" s="10">
        <v>0.0365</v>
      </c>
      <c r="G18" s="26">
        <v>0.5</v>
      </c>
      <c r="H18" s="27">
        <v>451</v>
      </c>
      <c r="I18" s="12">
        <v>5464.30347222222</v>
      </c>
    </row>
    <row r="19" spans="1:9">
      <c r="A19" s="5">
        <v>18</v>
      </c>
      <c r="B19" s="14">
        <v>2120500</v>
      </c>
      <c r="C19" s="13">
        <v>670506.59</v>
      </c>
      <c r="D19" s="8">
        <v>44978</v>
      </c>
      <c r="E19" s="9">
        <v>45394</v>
      </c>
      <c r="F19" s="10">
        <v>0.0365</v>
      </c>
      <c r="G19" s="26">
        <v>0.5</v>
      </c>
      <c r="H19" s="27">
        <v>416</v>
      </c>
      <c r="I19" s="12">
        <v>44718.9888888889</v>
      </c>
    </row>
    <row r="20" spans="1:9">
      <c r="A20" s="5">
        <v>19</v>
      </c>
      <c r="B20" s="14">
        <v>444300</v>
      </c>
      <c r="C20" s="13">
        <v>150994.68</v>
      </c>
      <c r="D20" s="8">
        <v>44995</v>
      </c>
      <c r="E20" s="9">
        <v>45394</v>
      </c>
      <c r="F20" s="10">
        <v>0.0365</v>
      </c>
      <c r="G20" s="26">
        <v>0.5</v>
      </c>
      <c r="H20" s="27">
        <v>399</v>
      </c>
      <c r="I20" s="12">
        <v>8986.893125</v>
      </c>
    </row>
    <row r="21" spans="1:9">
      <c r="A21" s="5">
        <v>20</v>
      </c>
      <c r="B21" s="14">
        <v>423760</v>
      </c>
      <c r="C21" s="13">
        <v>265619.9</v>
      </c>
      <c r="D21" s="8">
        <v>45002</v>
      </c>
      <c r="E21" s="9">
        <v>45394</v>
      </c>
      <c r="F21" s="10">
        <v>0.0365</v>
      </c>
      <c r="G21" s="26">
        <v>0.5</v>
      </c>
      <c r="H21" s="27">
        <v>392</v>
      </c>
      <c r="I21" s="12">
        <v>8421.05288888889</v>
      </c>
    </row>
    <row r="22" spans="1:9">
      <c r="A22" s="5">
        <v>21</v>
      </c>
      <c r="B22" s="14">
        <v>2235600</v>
      </c>
      <c r="C22" s="13">
        <v>1627283.91</v>
      </c>
      <c r="D22" s="8">
        <v>45040</v>
      </c>
      <c r="E22" s="9">
        <v>45394</v>
      </c>
      <c r="F22" s="10">
        <v>0.0365</v>
      </c>
      <c r="G22" s="26">
        <v>0.5</v>
      </c>
      <c r="H22" s="27">
        <v>354</v>
      </c>
      <c r="I22" s="12">
        <v>40119.705</v>
      </c>
    </row>
    <row r="23" spans="1:9">
      <c r="A23" s="5">
        <v>22</v>
      </c>
      <c r="B23" s="14">
        <v>435800</v>
      </c>
      <c r="C23" s="13">
        <v>372431.34</v>
      </c>
      <c r="D23" s="8">
        <v>45052</v>
      </c>
      <c r="E23" s="9">
        <v>45394</v>
      </c>
      <c r="F23" s="10">
        <v>0.0365</v>
      </c>
      <c r="G23" s="26">
        <v>0.5</v>
      </c>
      <c r="H23" s="27">
        <v>342</v>
      </c>
      <c r="I23" s="12">
        <v>7555.6825</v>
      </c>
    </row>
    <row r="24" spans="1:9">
      <c r="A24" s="5">
        <v>23</v>
      </c>
      <c r="B24" s="16">
        <v>649800</v>
      </c>
      <c r="C24" s="13">
        <v>285247.8</v>
      </c>
      <c r="D24" s="9">
        <v>45063</v>
      </c>
      <c r="E24" s="9">
        <v>45394</v>
      </c>
      <c r="F24" s="10">
        <v>0.0365</v>
      </c>
      <c r="G24" s="26">
        <v>0.5</v>
      </c>
      <c r="H24" s="27">
        <v>331</v>
      </c>
      <c r="I24" s="12">
        <v>10903.55375</v>
      </c>
    </row>
    <row r="25" spans="1:9">
      <c r="A25" s="5">
        <v>24</v>
      </c>
      <c r="B25" s="16">
        <v>222000</v>
      </c>
      <c r="C25" s="13">
        <v>28917.02</v>
      </c>
      <c r="D25" s="9">
        <v>45071</v>
      </c>
      <c r="E25" s="9">
        <v>45394</v>
      </c>
      <c r="F25" s="10">
        <v>0.0365</v>
      </c>
      <c r="G25" s="26">
        <v>0.5</v>
      </c>
      <c r="H25" s="27">
        <v>323</v>
      </c>
      <c r="I25" s="12">
        <v>3635.09583333333</v>
      </c>
    </row>
    <row r="26" spans="1:9">
      <c r="A26" s="5">
        <v>25</v>
      </c>
      <c r="B26" s="16">
        <v>1249400</v>
      </c>
      <c r="C26" s="13">
        <v>744796.69</v>
      </c>
      <c r="D26" s="9">
        <v>45093</v>
      </c>
      <c r="E26" s="9">
        <v>45394</v>
      </c>
      <c r="F26" s="10">
        <v>0.0365</v>
      </c>
      <c r="G26" s="26">
        <v>0.5</v>
      </c>
      <c r="H26" s="27">
        <v>301</v>
      </c>
      <c r="I26" s="12">
        <v>19064.6293055556</v>
      </c>
    </row>
    <row r="27" spans="1:9">
      <c r="A27" s="5">
        <v>26</v>
      </c>
      <c r="B27" s="16">
        <v>102000</v>
      </c>
      <c r="C27" s="13">
        <v>0</v>
      </c>
      <c r="D27" s="9">
        <v>45110</v>
      </c>
      <c r="E27" s="9">
        <v>45394</v>
      </c>
      <c r="F27" s="17">
        <v>0.0355</v>
      </c>
      <c r="G27" s="26">
        <v>0.5</v>
      </c>
      <c r="H27" s="27">
        <v>284</v>
      </c>
      <c r="I27" s="12">
        <v>1428.28333333333</v>
      </c>
    </row>
    <row r="28" spans="1:9">
      <c r="A28" s="5">
        <v>27</v>
      </c>
      <c r="B28" s="16">
        <v>1188492</v>
      </c>
      <c r="C28" s="13">
        <v>737304.45</v>
      </c>
      <c r="D28" s="9">
        <v>45126</v>
      </c>
      <c r="E28" s="9">
        <v>45394</v>
      </c>
      <c r="F28" s="17">
        <v>0.0355</v>
      </c>
      <c r="G28" s="26">
        <v>0.5</v>
      </c>
      <c r="H28" s="27">
        <v>268</v>
      </c>
      <c r="I28" s="12">
        <v>15704.6012333333</v>
      </c>
    </row>
    <row r="29" spans="1:9">
      <c r="A29" s="5">
        <v>28</v>
      </c>
      <c r="B29" s="16">
        <v>400000</v>
      </c>
      <c r="C29" s="13">
        <v>400000</v>
      </c>
      <c r="D29" s="9">
        <v>45127</v>
      </c>
      <c r="E29" s="9">
        <v>45394</v>
      </c>
      <c r="F29" s="17">
        <v>0.0355</v>
      </c>
      <c r="G29" s="26">
        <v>0.5</v>
      </c>
      <c r="H29" s="27">
        <v>267</v>
      </c>
      <c r="I29" s="12">
        <v>5265.83333333333</v>
      </c>
    </row>
    <row r="30" spans="1:9">
      <c r="A30" s="18" t="s">
        <v>92</v>
      </c>
      <c r="B30" s="19">
        <f>SUM(B2:B29)</f>
        <v>22005952</v>
      </c>
      <c r="C30" s="19">
        <f>SUM(C2:C29)</f>
        <v>10875149.08</v>
      </c>
      <c r="D30" s="20"/>
      <c r="E30" s="20"/>
      <c r="F30" s="21"/>
      <c r="G30" s="28"/>
      <c r="H30" s="22"/>
      <c r="I30" s="19">
        <f>SUM(I2:I29)</f>
        <v>391788.217594444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8" workbookViewId="0">
      <selection activeCell="A1" sqref="A1:I30"/>
    </sheetView>
  </sheetViews>
  <sheetFormatPr defaultColWidth="8.625" defaultRowHeight="14"/>
  <cols>
    <col min="1" max="1" width="4.875" customWidth="1"/>
    <col min="2" max="2" width="14.875"/>
    <col min="3" max="3" width="13.625" customWidth="1"/>
    <col min="4" max="4" width="10.125" customWidth="1"/>
    <col min="5" max="5" width="9.75"/>
    <col min="7" max="7" width="8.625" customWidth="1"/>
    <col min="8" max="8" width="12.25" customWidth="1"/>
    <col min="9" max="9" width="12.375" customWidth="1"/>
  </cols>
  <sheetData>
    <row r="1" ht="39" spans="1:9">
      <c r="A1" s="1" t="s">
        <v>2</v>
      </c>
      <c r="B1" s="2" t="s">
        <v>108</v>
      </c>
      <c r="C1" s="2" t="s">
        <v>65</v>
      </c>
      <c r="D1" s="1" t="s">
        <v>48</v>
      </c>
      <c r="E1" s="1" t="s">
        <v>67</v>
      </c>
      <c r="F1" s="3" t="s">
        <v>69</v>
      </c>
      <c r="G1" s="1" t="s">
        <v>72</v>
      </c>
      <c r="H1" s="4" t="s">
        <v>73</v>
      </c>
      <c r="I1" s="4" t="s">
        <v>74</v>
      </c>
    </row>
    <row r="2" spans="1:9">
      <c r="A2" s="5">
        <v>1</v>
      </c>
      <c r="B2" s="6">
        <v>1000000</v>
      </c>
      <c r="C2" s="7">
        <v>216424.03</v>
      </c>
      <c r="D2" s="8">
        <v>44799</v>
      </c>
      <c r="E2" s="9" t="s">
        <v>101</v>
      </c>
      <c r="F2" s="10">
        <v>0.0365</v>
      </c>
      <c r="G2" s="11">
        <v>60</v>
      </c>
      <c r="H2" s="12">
        <v>5535.83333333333</v>
      </c>
      <c r="I2" s="23">
        <v>658.289757916667</v>
      </c>
    </row>
    <row r="3" spans="1:9">
      <c r="A3" s="5">
        <v>2</v>
      </c>
      <c r="B3" s="6">
        <v>820000</v>
      </c>
      <c r="C3" s="7">
        <v>820000</v>
      </c>
      <c r="D3" s="8" t="s">
        <v>101</v>
      </c>
      <c r="E3" s="9">
        <v>45041</v>
      </c>
      <c r="F3" s="10">
        <v>0.0365</v>
      </c>
      <c r="G3" s="11">
        <v>182</v>
      </c>
      <c r="H3" s="12">
        <v>7565.63888888889</v>
      </c>
      <c r="I3" s="23">
        <v>7565.63888888889</v>
      </c>
    </row>
    <row r="4" spans="1:9">
      <c r="A4" s="5">
        <v>3</v>
      </c>
      <c r="B4" s="6">
        <v>670000</v>
      </c>
      <c r="C4" s="13">
        <v>325422</v>
      </c>
      <c r="D4" s="8">
        <v>44819</v>
      </c>
      <c r="E4" s="9" t="s">
        <v>102</v>
      </c>
      <c r="F4" s="10">
        <v>0.0365</v>
      </c>
      <c r="G4" s="11">
        <v>222</v>
      </c>
      <c r="H4" s="12">
        <v>7540.29166666667</v>
      </c>
      <c r="I4" s="13">
        <v>3662.353425</v>
      </c>
    </row>
    <row r="5" spans="1:9">
      <c r="A5" s="5">
        <v>4</v>
      </c>
      <c r="B5" s="14">
        <v>378000</v>
      </c>
      <c r="C5" s="13">
        <v>1000</v>
      </c>
      <c r="D5" s="8">
        <v>44833</v>
      </c>
      <c r="E5" s="9">
        <v>45041</v>
      </c>
      <c r="F5" s="10">
        <v>0.0365</v>
      </c>
      <c r="G5" s="11">
        <v>208</v>
      </c>
      <c r="H5" s="12">
        <v>3985.8</v>
      </c>
      <c r="I5" s="13">
        <v>10.5444444444444</v>
      </c>
    </row>
    <row r="6" spans="1:9">
      <c r="A6" s="5">
        <v>5</v>
      </c>
      <c r="B6" s="14">
        <v>132000</v>
      </c>
      <c r="C6" s="15">
        <v>0</v>
      </c>
      <c r="D6" s="8">
        <v>44844</v>
      </c>
      <c r="E6" s="9" t="s">
        <v>102</v>
      </c>
      <c r="F6" s="10">
        <v>0.0365</v>
      </c>
      <c r="G6" s="11">
        <v>197</v>
      </c>
      <c r="H6" s="12">
        <v>12396.6217361111</v>
      </c>
      <c r="I6" s="24">
        <v>0</v>
      </c>
    </row>
    <row r="7" spans="1:9">
      <c r="A7" s="5">
        <v>6</v>
      </c>
      <c r="B7" s="14">
        <v>1109300</v>
      </c>
      <c r="C7" s="15">
        <v>306726.89</v>
      </c>
      <c r="D7" s="8" t="s">
        <v>102</v>
      </c>
      <c r="E7" s="9">
        <v>45224</v>
      </c>
      <c r="F7" s="10">
        <v>0.0365</v>
      </c>
      <c r="G7" s="11">
        <v>183</v>
      </c>
      <c r="H7" s="12">
        <v>10291.0685416667</v>
      </c>
      <c r="I7" s="24">
        <v>2845.53091910417</v>
      </c>
    </row>
    <row r="8" spans="1:9">
      <c r="A8" s="5">
        <v>7</v>
      </c>
      <c r="B8" s="14">
        <v>1040000</v>
      </c>
      <c r="C8" s="13">
        <v>879769.15</v>
      </c>
      <c r="D8" s="8">
        <v>44848</v>
      </c>
      <c r="E8" s="9">
        <v>45224</v>
      </c>
      <c r="F8" s="10">
        <v>0.0365</v>
      </c>
      <c r="G8" s="11">
        <v>376</v>
      </c>
      <c r="H8" s="12">
        <v>19823.5555555556</v>
      </c>
      <c r="I8" s="13">
        <v>16769.3775202778</v>
      </c>
    </row>
    <row r="9" spans="1:9">
      <c r="A9" s="5">
        <v>8</v>
      </c>
      <c r="B9" s="14">
        <v>471100</v>
      </c>
      <c r="C9" s="13">
        <v>26483.6</v>
      </c>
      <c r="D9" s="8">
        <v>44853</v>
      </c>
      <c r="E9" s="9">
        <v>45224</v>
      </c>
      <c r="F9" s="10">
        <v>0.0365</v>
      </c>
      <c r="G9" s="11">
        <v>371</v>
      </c>
      <c r="H9" s="12">
        <v>8860.27868055556</v>
      </c>
      <c r="I9" s="13">
        <v>498.093985277777</v>
      </c>
    </row>
    <row r="10" spans="1:9">
      <c r="A10" s="5">
        <v>9</v>
      </c>
      <c r="B10" s="14">
        <v>585000</v>
      </c>
      <c r="C10" s="13">
        <v>168765.6</v>
      </c>
      <c r="D10" s="8">
        <v>44862</v>
      </c>
      <c r="E10" s="9">
        <v>45224</v>
      </c>
      <c r="F10" s="10">
        <v>0.0365</v>
      </c>
      <c r="G10" s="11">
        <v>362</v>
      </c>
      <c r="H10" s="12">
        <v>10735.5625</v>
      </c>
      <c r="I10" s="13">
        <v>3097.08315666667</v>
      </c>
    </row>
    <row r="11" spans="1:9">
      <c r="A11" s="5">
        <v>10</v>
      </c>
      <c r="B11" s="14">
        <v>1316800</v>
      </c>
      <c r="C11" s="13">
        <v>181079.64</v>
      </c>
      <c r="D11" s="8">
        <v>44875</v>
      </c>
      <c r="E11" s="9">
        <v>45224</v>
      </c>
      <c r="F11" s="10">
        <v>0.0365</v>
      </c>
      <c r="G11" s="11">
        <v>349</v>
      </c>
      <c r="H11" s="12">
        <v>23297.3011111111</v>
      </c>
      <c r="I11" s="13">
        <v>3203.72638075</v>
      </c>
    </row>
    <row r="12" spans="1:9">
      <c r="A12" s="5">
        <v>11</v>
      </c>
      <c r="B12" s="14">
        <v>334300</v>
      </c>
      <c r="C12" s="13">
        <v>237839.78</v>
      </c>
      <c r="D12" s="8">
        <v>44882</v>
      </c>
      <c r="E12" s="9">
        <v>45224</v>
      </c>
      <c r="F12" s="10">
        <v>0.0365</v>
      </c>
      <c r="G12" s="11">
        <v>342</v>
      </c>
      <c r="H12" s="12">
        <v>5795.92625</v>
      </c>
      <c r="I12" s="13">
        <v>4123.54718575</v>
      </c>
    </row>
    <row r="13" spans="1:9">
      <c r="A13" s="5">
        <v>12</v>
      </c>
      <c r="B13" s="14">
        <v>143500</v>
      </c>
      <c r="C13" s="15">
        <v>0</v>
      </c>
      <c r="D13" s="8">
        <v>44901</v>
      </c>
      <c r="E13" s="9">
        <v>45224</v>
      </c>
      <c r="F13" s="10">
        <v>0.0365</v>
      </c>
      <c r="G13" s="11">
        <v>323</v>
      </c>
      <c r="H13" s="12">
        <v>20287.7645833333</v>
      </c>
      <c r="I13" s="25">
        <v>0</v>
      </c>
    </row>
    <row r="14" spans="1:9">
      <c r="A14" s="5">
        <v>13</v>
      </c>
      <c r="B14" s="14">
        <v>1095500</v>
      </c>
      <c r="C14" s="15">
        <v>547848.1</v>
      </c>
      <c r="D14" s="8">
        <v>45224</v>
      </c>
      <c r="E14" s="9">
        <v>45394</v>
      </c>
      <c r="F14" s="10">
        <v>0.0355</v>
      </c>
      <c r="G14" s="11">
        <v>170</v>
      </c>
      <c r="H14" s="12">
        <v>9182.42013888889</v>
      </c>
      <c r="I14" s="25">
        <v>4592.03233819444</v>
      </c>
    </row>
    <row r="15" spans="1:9">
      <c r="A15" s="5">
        <v>14</v>
      </c>
      <c r="B15" s="14">
        <v>446800</v>
      </c>
      <c r="C15" s="13">
        <v>361266.4</v>
      </c>
      <c r="D15" s="8">
        <v>44909</v>
      </c>
      <c r="E15" s="9">
        <v>45394</v>
      </c>
      <c r="F15" s="10">
        <v>0.0365</v>
      </c>
      <c r="G15" s="11">
        <v>485</v>
      </c>
      <c r="H15" s="12">
        <v>10985.3847222222</v>
      </c>
      <c r="I15" s="13">
        <v>8882.38673055555</v>
      </c>
    </row>
    <row r="16" spans="1:9">
      <c r="A16" s="5">
        <v>15</v>
      </c>
      <c r="B16" s="14">
        <v>1250000</v>
      </c>
      <c r="C16" s="13">
        <v>311112.24</v>
      </c>
      <c r="D16" s="8">
        <v>44931</v>
      </c>
      <c r="E16" s="9">
        <v>45394</v>
      </c>
      <c r="F16" s="10">
        <v>0.0365</v>
      </c>
      <c r="G16" s="11">
        <v>463</v>
      </c>
      <c r="H16" s="12">
        <v>29339.4097222222</v>
      </c>
      <c r="I16" s="13">
        <v>7302.27958316667</v>
      </c>
    </row>
    <row r="17" spans="1:9">
      <c r="A17" s="5">
        <v>16</v>
      </c>
      <c r="B17" s="14">
        <v>1503000</v>
      </c>
      <c r="C17" s="13">
        <v>1181853.34</v>
      </c>
      <c r="D17" s="8">
        <v>44936</v>
      </c>
      <c r="E17" s="9">
        <v>45394</v>
      </c>
      <c r="F17" s="10">
        <v>0.0365</v>
      </c>
      <c r="G17" s="11">
        <v>458</v>
      </c>
      <c r="H17" s="12">
        <v>34896.7375</v>
      </c>
      <c r="I17" s="13">
        <v>27440.3365066389</v>
      </c>
    </row>
    <row r="18" spans="1:9">
      <c r="A18" s="5">
        <v>17</v>
      </c>
      <c r="B18" s="14">
        <v>239000</v>
      </c>
      <c r="C18" s="13">
        <v>26455.93</v>
      </c>
      <c r="D18" s="8">
        <v>44943</v>
      </c>
      <c r="E18" s="9">
        <v>45394</v>
      </c>
      <c r="F18" s="10">
        <v>0.0365</v>
      </c>
      <c r="G18" s="11">
        <v>451</v>
      </c>
      <c r="H18" s="12">
        <v>5464.30347222222</v>
      </c>
      <c r="I18" s="13">
        <v>604.867071798611</v>
      </c>
    </row>
    <row r="19" spans="1:9">
      <c r="A19" s="5">
        <v>18</v>
      </c>
      <c r="B19" s="14">
        <v>2120500</v>
      </c>
      <c r="C19" s="13">
        <v>670506.59</v>
      </c>
      <c r="D19" s="8">
        <v>44978</v>
      </c>
      <c r="E19" s="9">
        <v>45394</v>
      </c>
      <c r="F19" s="10">
        <v>0.0365</v>
      </c>
      <c r="G19" s="11">
        <v>416</v>
      </c>
      <c r="H19" s="12">
        <v>44718.9888888889</v>
      </c>
      <c r="I19" s="13">
        <v>14140.2389757778</v>
      </c>
    </row>
    <row r="20" spans="1:9">
      <c r="A20" s="5">
        <v>19</v>
      </c>
      <c r="B20" s="14">
        <v>444300</v>
      </c>
      <c r="C20" s="13">
        <v>150994.68</v>
      </c>
      <c r="D20" s="8">
        <v>44995</v>
      </c>
      <c r="E20" s="9">
        <v>45394</v>
      </c>
      <c r="F20" s="10">
        <v>0.0365</v>
      </c>
      <c r="G20" s="11">
        <v>399</v>
      </c>
      <c r="H20" s="12">
        <v>8986.893125</v>
      </c>
      <c r="I20" s="13">
        <v>3054.18197525</v>
      </c>
    </row>
    <row r="21" spans="1:9">
      <c r="A21" s="5">
        <v>20</v>
      </c>
      <c r="B21" s="14">
        <v>423760</v>
      </c>
      <c r="C21" s="13">
        <v>265619.9</v>
      </c>
      <c r="D21" s="8">
        <v>45002</v>
      </c>
      <c r="E21" s="9">
        <v>45394</v>
      </c>
      <c r="F21" s="10">
        <v>0.0365</v>
      </c>
      <c r="G21" s="11">
        <v>392</v>
      </c>
      <c r="H21" s="12">
        <v>8421.05288888889</v>
      </c>
      <c r="I21" s="13">
        <v>5278.45767944444</v>
      </c>
    </row>
    <row r="22" spans="1:9">
      <c r="A22" s="5">
        <v>21</v>
      </c>
      <c r="B22" s="14">
        <v>2235600</v>
      </c>
      <c r="C22" s="13">
        <v>1627283.91</v>
      </c>
      <c r="D22" s="8">
        <v>45040</v>
      </c>
      <c r="E22" s="9">
        <v>45394</v>
      </c>
      <c r="F22" s="10">
        <v>0.0365</v>
      </c>
      <c r="G22" s="11">
        <v>354</v>
      </c>
      <c r="H22" s="12">
        <v>40119.705</v>
      </c>
      <c r="I22" s="13">
        <v>29202.965834875</v>
      </c>
    </row>
    <row r="23" spans="1:9">
      <c r="A23" s="5">
        <v>22</v>
      </c>
      <c r="B23" s="14">
        <v>435800</v>
      </c>
      <c r="C23" s="13">
        <v>372431.34</v>
      </c>
      <c r="D23" s="8">
        <v>45052</v>
      </c>
      <c r="E23" s="9">
        <v>45394</v>
      </c>
      <c r="F23" s="10">
        <v>0.0365</v>
      </c>
      <c r="G23" s="11">
        <v>342</v>
      </c>
      <c r="H23" s="12">
        <v>7555.6825</v>
      </c>
      <c r="I23" s="13">
        <v>6457.02835725</v>
      </c>
    </row>
    <row r="24" spans="1:9">
      <c r="A24" s="5">
        <v>23</v>
      </c>
      <c r="B24" s="16">
        <v>649800</v>
      </c>
      <c r="C24" s="13">
        <v>285247.8</v>
      </c>
      <c r="D24" s="9">
        <v>45063</v>
      </c>
      <c r="E24" s="9">
        <v>45394</v>
      </c>
      <c r="F24" s="10">
        <v>0.0365</v>
      </c>
      <c r="G24" s="11">
        <v>331</v>
      </c>
      <c r="H24" s="12">
        <v>10903.55375</v>
      </c>
      <c r="I24" s="13">
        <v>4786.41846625</v>
      </c>
    </row>
    <row r="25" spans="1:9">
      <c r="A25" s="5">
        <v>24</v>
      </c>
      <c r="B25" s="16">
        <v>222000</v>
      </c>
      <c r="C25" s="13">
        <v>28917.02</v>
      </c>
      <c r="D25" s="9">
        <v>45071</v>
      </c>
      <c r="E25" s="9">
        <v>45394</v>
      </c>
      <c r="F25" s="10">
        <v>0.0365</v>
      </c>
      <c r="G25" s="11">
        <v>323</v>
      </c>
      <c r="H25" s="12">
        <v>3635.09583333333</v>
      </c>
      <c r="I25" s="13">
        <v>473.496121236111</v>
      </c>
    </row>
    <row r="26" spans="1:9">
      <c r="A26" s="5">
        <v>25</v>
      </c>
      <c r="B26" s="16">
        <v>1249400</v>
      </c>
      <c r="C26" s="13">
        <v>744796.69</v>
      </c>
      <c r="D26" s="9">
        <v>45093</v>
      </c>
      <c r="E26" s="9">
        <v>45394</v>
      </c>
      <c r="F26" s="10">
        <v>0.0365</v>
      </c>
      <c r="G26" s="11">
        <v>301</v>
      </c>
      <c r="H26" s="12">
        <v>19064.6293055556</v>
      </c>
      <c r="I26" s="13">
        <v>11364.8733815069</v>
      </c>
    </row>
    <row r="27" spans="1:9">
      <c r="A27" s="5">
        <v>26</v>
      </c>
      <c r="B27" s="16">
        <v>102000</v>
      </c>
      <c r="C27" s="13">
        <v>0</v>
      </c>
      <c r="D27" s="9">
        <v>45110</v>
      </c>
      <c r="E27" s="9">
        <v>45394</v>
      </c>
      <c r="F27" s="17">
        <v>0.0355</v>
      </c>
      <c r="G27" s="11">
        <v>284</v>
      </c>
      <c r="H27" s="12">
        <v>1428.28333333333</v>
      </c>
      <c r="I27" s="13">
        <v>0</v>
      </c>
    </row>
    <row r="28" spans="1:9">
      <c r="A28" s="5">
        <v>27</v>
      </c>
      <c r="B28" s="16">
        <v>1188492</v>
      </c>
      <c r="C28" s="13">
        <v>737304.45</v>
      </c>
      <c r="D28" s="9">
        <v>45126</v>
      </c>
      <c r="E28" s="9">
        <v>45394</v>
      </c>
      <c r="F28" s="17">
        <v>0.0355</v>
      </c>
      <c r="G28" s="11">
        <v>268</v>
      </c>
      <c r="H28" s="12">
        <v>15704.6012333333</v>
      </c>
      <c r="I28" s="13">
        <v>9742.65907958333</v>
      </c>
    </row>
    <row r="29" spans="1:9">
      <c r="A29" s="5">
        <v>28</v>
      </c>
      <c r="B29" s="16">
        <v>400000</v>
      </c>
      <c r="C29" s="13">
        <v>400000</v>
      </c>
      <c r="D29" s="9">
        <v>45127</v>
      </c>
      <c r="E29" s="9">
        <v>45394</v>
      </c>
      <c r="F29" s="17">
        <v>0.0355</v>
      </c>
      <c r="G29" s="11">
        <v>267</v>
      </c>
      <c r="H29" s="12">
        <v>5265.83333333333</v>
      </c>
      <c r="I29" s="13">
        <v>5265.83333333333</v>
      </c>
    </row>
    <row r="30" spans="1:9">
      <c r="A30" s="18" t="s">
        <v>92</v>
      </c>
      <c r="B30" s="19">
        <f>SUM(B2:B29)</f>
        <v>22005952</v>
      </c>
      <c r="C30" s="19">
        <f>SUM(C2:C29)</f>
        <v>10875149.08</v>
      </c>
      <c r="D30" s="20"/>
      <c r="E30" s="20"/>
      <c r="F30" s="21"/>
      <c r="G30" s="22"/>
      <c r="H30" s="19">
        <f>SUM(H2:H29)</f>
        <v>391788.217594444</v>
      </c>
      <c r="I30" s="19">
        <f>SUM(I2:I29)</f>
        <v>181022.241098938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贴息审核要素</vt:lpstr>
      <vt:lpstr>贴息计算</vt:lpstr>
      <vt:lpstr>2024年下半年农业龙头企业贷款财政贴息扶持资金（第一批)</vt:lpstr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LiuQiuHong</dc:creator>
  <cp:lastModifiedBy>黄世钦</cp:lastModifiedBy>
  <dcterms:created xsi:type="dcterms:W3CDTF">2022-08-29T04:43:00Z</dcterms:created>
  <cp:lastPrinted>2022-11-03T02:23:00Z</cp:lastPrinted>
  <dcterms:modified xsi:type="dcterms:W3CDTF">2025-05-08T01:00:20Z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ACD531E657FE4C01A3001DAE5B7A6BF3_13</vt:lpwstr>
  </property>
  <property fmtid="{D5CDD505-2E9C-101B-9397-08002B2CF9AE}" pid="3" name="KSOProductBuildVer">
    <vt:lpwstr>2052-12.1.0.20784</vt:lpwstr>
  </property>
</Properties>
</file>